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tabRatio="934" activeTab="0"/>
  </bookViews>
  <sheets>
    <sheet name="Proposta" sheetId="1" r:id="rId1"/>
    <sheet name="(1)" sheetId="2" r:id="rId2"/>
    <sheet name="(3)" sheetId="3" r:id="rId3"/>
    <sheet name="(2)" sheetId="4" r:id="rId4"/>
    <sheet name="Anexo" sheetId="5" r:id="rId5"/>
    <sheet name="Materiais" sheetId="6" r:id="rId6"/>
    <sheet name="Equipamentos" sheetId="7" r:id="rId7"/>
    <sheet name="Uniforme_EPI" sheetId="8" r:id="rId8"/>
    <sheet name="Encargos Sociais" sheetId="9" r:id="rId9"/>
  </sheets>
  <externalReferences>
    <externalReference r:id="rId12"/>
    <externalReference r:id="rId13"/>
  </externalReferences>
  <definedNames>
    <definedName name="_xlnm.Print_Area" localSheetId="1">'(1)'!$B$2:$E$129</definedName>
    <definedName name="_xlnm.Print_Area" localSheetId="3">'(2)'!$B$2:$E$129</definedName>
    <definedName name="_xlnm.Print_Area" localSheetId="2">'(3)'!$B$2:$E$129</definedName>
    <definedName name="_xlnm.Print_Area" localSheetId="4">'Anexo'!$B$2:$H$31</definedName>
    <definedName name="_xlnm.Print_Area" localSheetId="8">'Encargos Sociais'!$A$1:$F$133</definedName>
    <definedName name="_xlnm.Print_Area" localSheetId="6">'Equipamentos'!$B$2:$F$18</definedName>
    <definedName name="_xlnm.Print_Area" localSheetId="5">'Materiais'!$B$2:$H$41</definedName>
    <definedName name="_xlnm.Print_Area" localSheetId="0">'Proposta'!$A$1:$H$45</definedName>
    <definedName name="_xlnm.Print_Area" localSheetId="7">'Uniforme_EPI'!$B$3:$F$27</definedName>
    <definedName name="CPMF" localSheetId="1">#REF!</definedName>
    <definedName name="CPMF" localSheetId="3">#REF!</definedName>
    <definedName name="CPMF" localSheetId="2">#REF!</definedName>
    <definedName name="CPMF" localSheetId="4">#REF!</definedName>
    <definedName name="CPMF" localSheetId="8">#REF!</definedName>
    <definedName name="CPMF">#REF!</definedName>
    <definedName name="Excel_BuiltIn_Print_Area_1_1">"$#REF!.$A$2:$C$99"</definedName>
  </definedNames>
  <calcPr fullCalcOnLoad="1"/>
</workbook>
</file>

<file path=xl/sharedStrings.xml><?xml version="1.0" encoding="utf-8"?>
<sst xmlns="http://schemas.openxmlformats.org/spreadsheetml/2006/main" count="1074" uniqueCount="391">
  <si>
    <t>Valor Total por empregado</t>
  </si>
  <si>
    <t>Módulo 5 - Custos indiretos, tributos e lucro</t>
  </si>
  <si>
    <t>E</t>
  </si>
  <si>
    <t>Subtotal (A + B + C + D)</t>
  </si>
  <si>
    <t>Módulo 4 - Encargos Sociais e Trabalhistas</t>
  </si>
  <si>
    <t>D</t>
  </si>
  <si>
    <t>Módulo 3 - Insumos Diversos (uniformes, materiais, equipamentos e outros)</t>
  </si>
  <si>
    <t>C</t>
  </si>
  <si>
    <t>Módulo 2 - Benefícios Mensais e Diários</t>
  </si>
  <si>
    <t>B</t>
  </si>
  <si>
    <t>Módulo 1 - Composição da Remuneração</t>
  </si>
  <si>
    <t>A</t>
  </si>
  <si>
    <t>(R$)</t>
  </si>
  <si>
    <t>Mão-deobra vinculada à execução contratual (valor por empregado)</t>
  </si>
  <si>
    <t>Anexo III - B  – Quadro-resumo de Custo por Empregado</t>
  </si>
  <si>
    <t>TOTAL</t>
  </si>
  <si>
    <t>Lucro</t>
  </si>
  <si>
    <t>B1. Tributos Federais (PIS 1,65% + COFINS 7,60%)</t>
  </si>
  <si>
    <t>Tributos</t>
  </si>
  <si>
    <t>Valor (R$)</t>
  </si>
  <si>
    <t>%</t>
  </si>
  <si>
    <t>Custos Indiretos, Tributos e Lucro</t>
  </si>
  <si>
    <t>MÓDULO 5 - CUSTOS INDIRETOS, TRIBUTOS E LUCRO</t>
  </si>
  <si>
    <t>Custo de reposição do profissional ausente</t>
  </si>
  <si>
    <t>4.5</t>
  </si>
  <si>
    <t>Custo de rescisão</t>
  </si>
  <si>
    <t>4.4</t>
  </si>
  <si>
    <t>Afastamento maternidade</t>
  </si>
  <si>
    <t>4.3</t>
  </si>
  <si>
    <t>13º salário + Adicional de férias</t>
  </si>
  <si>
    <t>4.2</t>
  </si>
  <si>
    <t>Encargos previdenciários e FGTS</t>
  </si>
  <si>
    <t>4.1</t>
  </si>
  <si>
    <t>Módulo 4 - Encargos sociais e trabalhistas</t>
  </si>
  <si>
    <t>Quadro - Resumo - Módulo 4 - Encargos Sociais e Trabalhistas</t>
  </si>
  <si>
    <t>Incidência do Submódulo 4.1 sobre o Custo de reposição</t>
  </si>
  <si>
    <t>G</t>
  </si>
  <si>
    <t>Subtotal</t>
  </si>
  <si>
    <t>Ausência por Acidente de trabalho</t>
  </si>
  <si>
    <t>Ausências legais</t>
  </si>
  <si>
    <t>Licença paternidade</t>
  </si>
  <si>
    <t>Ausência por doença</t>
  </si>
  <si>
    <t>Composição do Custo de Reposição do Profissional Ausente</t>
  </si>
  <si>
    <t>Submódulo 4.5 - Custo de Reposição do Profissional Ausente</t>
  </si>
  <si>
    <t>Multa do FGTS do aviso prévio trabalhado</t>
  </si>
  <si>
    <t>F</t>
  </si>
  <si>
    <t>Incidência do submódulo 4.1 sobre aviso prévio trabalhado</t>
  </si>
  <si>
    <t>Aviso prévio trabalhado</t>
  </si>
  <si>
    <t>Multa do FGTS do aviso prévio indenizado</t>
  </si>
  <si>
    <t>Aviso prévio indenizado</t>
  </si>
  <si>
    <t>Provisão para Rescisão</t>
  </si>
  <si>
    <t>Submódulo 4.4 - Provisão para Rescisão</t>
  </si>
  <si>
    <t>Incidência do Submódulo 4.1 sobre Afastamento Maternidade</t>
  </si>
  <si>
    <t>Afastamento Maternidade:</t>
  </si>
  <si>
    <t>Submódulo 4.3 - Afastamento Maternidade</t>
  </si>
  <si>
    <t>13º Salário</t>
  </si>
  <si>
    <t>SEBRAE</t>
  </si>
  <si>
    <t>H</t>
  </si>
  <si>
    <t>FGTS</t>
  </si>
  <si>
    <t>Salário Educação</t>
  </si>
  <si>
    <t>INCRA</t>
  </si>
  <si>
    <t>SENAI ou SENAC</t>
  </si>
  <si>
    <t>SESI ou SESC</t>
  </si>
  <si>
    <t>INSS</t>
  </si>
  <si>
    <t>Submódulo 4.1 - Encargos previdenciários e FGTS</t>
  </si>
  <si>
    <t>MÓDULO 4: ENCARGOS SOCIAIS E TRABALHISTAS</t>
  </si>
  <si>
    <t>Total de Insumos diversos</t>
  </si>
  <si>
    <t>Uniformes</t>
  </si>
  <si>
    <t>Insumos Diversos</t>
  </si>
  <si>
    <t>MÓDULO 3: INSUMOS DIVERSOS</t>
  </si>
  <si>
    <t>Total de Benefícios mensais e diários</t>
  </si>
  <si>
    <t>Auxílio Alimentação (Vales, cesta básica etc.)</t>
  </si>
  <si>
    <t>Benefícios Mensais e Diários</t>
  </si>
  <si>
    <t>MÓDULO 2: BENEFÍCIOS MENSAIS E DIÁRIOS</t>
  </si>
  <si>
    <t>Total de Remuneração</t>
  </si>
  <si>
    <t>Intervalo Intrajornada</t>
  </si>
  <si>
    <t>Adicional de Hora Extra</t>
  </si>
  <si>
    <t>Hora noturna adicional</t>
  </si>
  <si>
    <t>Adicional noturno</t>
  </si>
  <si>
    <t>Adicional de insalubridade</t>
  </si>
  <si>
    <t>Seguro de Vida</t>
  </si>
  <si>
    <t>Salário Base</t>
  </si>
  <si>
    <t>Composição da Remuneração</t>
  </si>
  <si>
    <t>MÓDULO 1: COMPOSIÇÃO DA REMUNERAÇÃO</t>
  </si>
  <si>
    <t>Data base da categoria (dia/mês/ano)</t>
  </si>
  <si>
    <t>Categoria profissional (vinculada à execução contratual)</t>
  </si>
  <si>
    <t>Salário Normativo da Categoria Profissional</t>
  </si>
  <si>
    <t>Mão de Obra</t>
  </si>
  <si>
    <t>Tipo de serviço (mesmo serviço com características distintas)</t>
  </si>
  <si>
    <t>Dados complementares para composição dos custos referente à mão-de-obra</t>
  </si>
  <si>
    <t>Mão-de-obra vinculada à execução contratual</t>
  </si>
  <si>
    <t>Anexo III - A – Mão-de-obra</t>
  </si>
  <si>
    <t>Valor por empregado</t>
  </si>
  <si>
    <t>Valor Participação Empregado</t>
  </si>
  <si>
    <t>Total Vale Alimentação</t>
  </si>
  <si>
    <t>Quantidade de Dias VA</t>
  </si>
  <si>
    <t>Valor Vale Alimentação</t>
  </si>
  <si>
    <t>Quantidade total a contratar</t>
  </si>
  <si>
    <t>Unidade de Medida</t>
  </si>
  <si>
    <t>Tipo de Serviço</t>
  </si>
  <si>
    <t>Nº de Dias VT</t>
  </si>
  <si>
    <t>Identificação do Serviço</t>
  </si>
  <si>
    <t>Desconto</t>
  </si>
  <si>
    <t>Valor Tarifa</t>
  </si>
  <si>
    <r>
      <t>N</t>
    </r>
    <r>
      <rPr>
        <strike/>
        <sz val="10"/>
        <rFont val="Arial"/>
        <family val="2"/>
      </rPr>
      <t>º</t>
    </r>
    <r>
      <rPr>
        <sz val="10"/>
        <rFont val="Arial"/>
        <family val="2"/>
      </rPr>
      <t xml:space="preserve"> de meses de execução contratual</t>
    </r>
  </si>
  <si>
    <t>Nº Vale Transporte por dia</t>
  </si>
  <si>
    <t>Ano Acordo, Convenção ou Sentença Normativa em Dissídio Coletivo</t>
  </si>
  <si>
    <t>Município/UF</t>
  </si>
  <si>
    <t>COFINS</t>
  </si>
  <si>
    <t>Data de apresentação da proposta (dia/mês/ano)</t>
  </si>
  <si>
    <t>PIS</t>
  </si>
  <si>
    <t>Discriminação dos Serviços (dados referentes à contratação)</t>
  </si>
  <si>
    <t>ISS</t>
  </si>
  <si>
    <r>
      <t>Licitação N</t>
    </r>
    <r>
      <rPr>
        <strike/>
        <sz val="10"/>
        <rFont val="Arial"/>
        <family val="2"/>
      </rPr>
      <t>º</t>
    </r>
  </si>
  <si>
    <t>Administração</t>
  </si>
  <si>
    <r>
      <t>N</t>
    </r>
    <r>
      <rPr>
        <strike/>
        <sz val="10"/>
        <rFont val="Arial"/>
        <family val="2"/>
      </rPr>
      <t>º</t>
    </r>
    <r>
      <rPr>
        <sz val="10"/>
        <rFont val="Arial"/>
        <family val="2"/>
      </rPr>
      <t xml:space="preserve"> Processo</t>
    </r>
  </si>
  <si>
    <t>Dados para elaboração da Proposta</t>
  </si>
  <si>
    <t>PLANILHA DE CUSTOS E FORMAÇÃO DE PREÇOS</t>
  </si>
  <si>
    <t>IDENTIFICAÇÃO DO PROPONENTE:</t>
  </si>
  <si>
    <t xml:space="preserve">OBJETO: </t>
  </si>
  <si>
    <t>CONDIÇÕES GERAIS:</t>
  </si>
  <si>
    <t>As relações empregado/empregador, concernentes ao controle de frequência, disciplina, folha de pagamento e demais obrigações de Lei serão sempre de inteira e exclusiva responsabilidade desta empresa.</t>
  </si>
  <si>
    <t>Descrição</t>
  </si>
  <si>
    <t>Valor Mensal</t>
  </si>
  <si>
    <t>B2. Tributos Municipais (ISSQN)</t>
  </si>
  <si>
    <t>Incidência do FGTS sobre aviso prévio indenizado</t>
  </si>
  <si>
    <t>Custos Indiretos (Contribuição Assistencial Patronal, Água, Luz, Telefone, IPTU, Supervisão, Equipe Administrativa e etc.)</t>
  </si>
  <si>
    <t xml:space="preserve">Submódulo 4.2 - 13º Salário </t>
  </si>
  <si>
    <t>Incidência do Submódulo 4.1 sobre 13º Salário</t>
  </si>
  <si>
    <t xml:space="preserve">13º Salário </t>
  </si>
  <si>
    <t>Férias e Adicional de Férias</t>
  </si>
  <si>
    <t>VALOR TOTAL MENSAL</t>
  </si>
  <si>
    <t>Auxílio Transporte</t>
  </si>
  <si>
    <t>Reflexo sobre o D.S.R</t>
  </si>
  <si>
    <t>MEMÓRIA DE CÁLCULO / JUSTIFICATIVA VALORES APRESENTADOS</t>
  </si>
  <si>
    <t>Submódulo 4.1 - Encargos Previdenciários e FGTS</t>
  </si>
  <si>
    <t>Definidos por legislação (fixos)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</si>
  <si>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o FAP da empresa.</t>
    </r>
  </si>
  <si>
    <t>CÁLCULO:</t>
  </si>
  <si>
    <t xml:space="preserve">Incidência do Submódulo 4.1 sobre 13º Salário </t>
  </si>
  <si>
    <t>Apenas Incidências</t>
  </si>
  <si>
    <t>DADOS:</t>
  </si>
  <si>
    <t>11,11% = 0,1111 (custo sobre os salários das férias integrais (12/12) dos trabalhadores)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</si>
  <si>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o percentual de afastamento.</t>
    </r>
  </si>
  <si>
    <t>4 meses no ano = 4/12 = 0,3333 (período em um ano a que se referem as férias proporcionais ora calculadas)</t>
  </si>
  <si>
    <t>Incidência do Submódulo 4.1 sobre 13º Salário e Adicional de Férias</t>
  </si>
  <si>
    <t>Aviso Prévio Indenizado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</si>
  <si>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o percentual de substituídos durante o ano.</t>
    </r>
  </si>
  <si>
    <t>Incidência do FGTS sobre aviso prévio Indenizado</t>
  </si>
  <si>
    <t>Multa do FGTS sobre o Aviso Prévio Indenizado</t>
  </si>
  <si>
    <t>(Multa de 40% FGTS) +  (Multa de 10% Contribuição Social - LC 110/01) em relação ao percentual de aviso prévio indenizado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</si>
  <si>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é alterada automaticamente quando altera o aviso prévio indenizado.</t>
    </r>
  </si>
  <si>
    <t>Aviso Prévio Trabalhado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</si>
  <si>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é alterada automaticamente quando altera a quantidade de anos do contrato.</t>
    </r>
  </si>
  <si>
    <t>Redução de 7 dias ou de 2h por dia</t>
  </si>
  <si>
    <t>Incidência do Submódulo 4.1 sobre Aviso Prévio Trabalhado</t>
  </si>
  <si>
    <t>Multa do FGTS sobre o Aviso Prévio Trabalhado</t>
  </si>
  <si>
    <t>(Multa de 40% FGTS) +  (Multa de 10% Contribuição Social - LC 110/01) em relação ao percentual de aviso prévio trabalhado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</si>
  <si>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é alterada automaticamente quando altera o aviso prévio trabalhado.</t>
    </r>
  </si>
  <si>
    <t>Ausência por Doença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</si>
  <si>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o número de faltas do ano.</t>
    </r>
  </si>
  <si>
    <t>Licença Paternidade</t>
  </si>
  <si>
    <t>Estatísticas da empresa: porcentagem dos funcionários que tornam-se pais em um ano</t>
  </si>
  <si>
    <t>Fórmula:</t>
  </si>
  <si>
    <t xml:space="preserve">= {[ (5 ÷ 30) ÷ 12 ] x % dos empregados que tornam-se pais em um ano ÷ 100} x 100 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</si>
  <si>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o percentual de funcionários que tornam-se pais em um ano.</t>
    </r>
  </si>
  <si>
    <t>Ausências Legais</t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</si>
  <si>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a média de ausências no ano.</t>
    </r>
  </si>
  <si>
    <r>
      <rPr>
        <b/>
        <sz val="10"/>
        <color indexed="10"/>
        <rFont val="Arial"/>
        <family val="2"/>
      </rPr>
      <t>OBS:</t>
    </r>
    <r>
      <rPr>
        <sz val="10"/>
        <color indexed="10"/>
        <rFont val="Arial"/>
        <family val="2"/>
      </rPr>
      <t xml:space="preserve"> Célula que poderá ser alterada de acordo com a estatística de funcionários que sofrem acidentes durante o ano.</t>
    </r>
  </si>
  <si>
    <t>Incidência do Submódulo 4.1 sobre o Custo de Reposição</t>
  </si>
  <si>
    <t>4.</t>
  </si>
  <si>
    <t>TOTAL DO MÓDULO 4 - Encargos Sociais e Trabalhistas</t>
  </si>
  <si>
    <t>Materiais</t>
  </si>
  <si>
    <t>= [ ( 1 ÷ 11 ) x 100 ] =</t>
  </si>
  <si>
    <t>= [ 0,0909x 100 ]  =</t>
  </si>
  <si>
    <t>=9,09%</t>
  </si>
  <si>
    <t>= [ ( 1 ÷ 11 ) ( 1  ÷ 3  x  1  ÷ 11 ) x 100 ] =</t>
  </si>
  <si>
    <t>= [ 0,1212 x 100 ] =</t>
  </si>
  <si>
    <t>= 12,12%</t>
  </si>
  <si>
    <t>Estatísticas: 12 faltas em 1 ano</t>
  </si>
  <si>
    <t>{ [ ( 12 ÷ 30 ) ÷ 12 ] X 100 } =</t>
  </si>
  <si>
    <t>= { [ 0,4000 ÷ 12 ] X 100 } =</t>
  </si>
  <si>
    <t>= { 0,03333 X 100 } =</t>
  </si>
  <si>
    <t>= 3,33%</t>
  </si>
  <si>
    <t>Estatística: 20,00% sofrem acidente durante o ano</t>
  </si>
  <si>
    <t>= { [ ( 15 ÷ 30 ) ÷ 12 ] x 0,20 } x 100 =</t>
  </si>
  <si>
    <t>= { [ 0,5 ÷ 12 ] x 0,20 } x 100 =</t>
  </si>
  <si>
    <t>= { 0,0416 x 0,20 } x 100 =</t>
  </si>
  <si>
    <t>= 0,0083 x 100 =</t>
  </si>
  <si>
    <t>= 0,83%</t>
  </si>
  <si>
    <t xml:space="preserve"> </t>
  </si>
  <si>
    <t>Valor Unitário</t>
  </si>
  <si>
    <t>9,00% dos funcionários tornam-se pais em um ano, o cálculo será:</t>
  </si>
  <si>
    <t>= {[ (5 ÷ 30) ÷ 12 ] x 0,09 } x 100 =</t>
  </si>
  <si>
    <t>= { [ 0,1666 ÷ 12 ] x 0,09 } x 100 =</t>
  </si>
  <si>
    <t>= { 0,013889 x 0,09 } x 100 =</t>
  </si>
  <si>
    <t>= 0,0013 x 100 =</t>
  </si>
  <si>
    <t>=0,13%</t>
  </si>
  <si>
    <t>Valor 12 Meses</t>
  </si>
  <si>
    <t xml:space="preserve">VALOR TOTAL 12 MESES </t>
  </si>
  <si>
    <t xml:space="preserve">Materiais </t>
  </si>
  <si>
    <t xml:space="preserve">Equipamentos </t>
  </si>
  <si>
    <t>= { [ 2,46% x 8,00% ] } =</t>
  </si>
  <si>
    <t>= 0,20%</t>
  </si>
  <si>
    <t>Considerando que 10% dos empregados pedem contas, essa penalidade recai sobre os 90% remanescentes. Considerando o pagamento da multa para os valores depositados relativos a salários, férias e 13º salário o cálculo.</t>
  </si>
  <si>
    <t xml:space="preserve">= { (0,08 x 0,5 x 0,9) x (1 + 1/11 + 1/11 + 1/3 * 1/11) x 100 }= </t>
  </si>
  <si>
    <t>= 4,36%</t>
  </si>
  <si>
    <t>Cerca de 2% do pessoal é demitido nessa situação.</t>
  </si>
  <si>
    <t>= { [ ( 7 ÷ 30 ) ÷ 12 ] x 0,02 x 100 } =</t>
  </si>
  <si>
    <t>= { [ 0,2333 ÷ 12] x 0,02 x 100 } =</t>
  </si>
  <si>
    <t>= { 0,0004 x 100 } =</t>
  </si>
  <si>
    <t>= 0,04%</t>
  </si>
  <si>
    <t>De acordo com a Tabela (RESERVA MENSAL PARA O PAGAMENTO DE ENCARGOS TRABALHISTAS - PERCENTUAIS INCIDENTES SOBRE A REMUNERAÇÃO) do Anexo VII da Instrução Normativa nº 2 de 30 de abril de 2008, o percentual da Multa do FGTS e contribuição social sobre o aviso prévio indenizado e sobre o aviso prévio trabalhado é de 5%. Portanto, como o percentual da Multa do FGTS e contribuições sociais sobre Aviso Prévio Indenizado é de 4,36%, conforme calculado no item XV acima, o percentual da Multa do FGTS e contribuições sociais sobre Aviso Prévio trabalhado será de 0,64%.</t>
  </si>
  <si>
    <t>= (5,00% - 4,36%) x 100</t>
  </si>
  <si>
    <t>= 0,64%</t>
  </si>
  <si>
    <t>Lote</t>
  </si>
  <si>
    <t>Cuiabá/MT</t>
  </si>
  <si>
    <t>Exames ocupacionais</t>
  </si>
  <si>
    <t>Tratamento Odontológico</t>
  </si>
  <si>
    <t>PCMSO</t>
  </si>
  <si>
    <t>Seguro de vida e do auxílio e assistência social em caso de morte ou invalidez / Exames ocupacionias / Tratamento Odontológico  / PCMSO</t>
  </si>
  <si>
    <t>Cesta Básica</t>
  </si>
  <si>
    <t xml:space="preserve">Gratificação por assiduidade </t>
  </si>
  <si>
    <t>Copeira</t>
  </si>
  <si>
    <t>44 horas semanais, de segunda-feira a sábado</t>
  </si>
  <si>
    <t>40 horas semanais, de segunda a sexta-feira</t>
  </si>
  <si>
    <t>Encarregado</t>
  </si>
  <si>
    <t>Servente de Limpeza</t>
  </si>
  <si>
    <t>Segunda à sábado</t>
  </si>
  <si>
    <t>Seguro acidente do trabalho (RAT: 3,00% x FAP: 1,05)</t>
  </si>
  <si>
    <t>Seguro Acidente do Trabalho (RAT: 3,00% x FAP: 1,05)</t>
  </si>
  <si>
    <t>Segunda à sexta</t>
  </si>
  <si>
    <t>Opção de bicicleta + R$ 50,00 mês</t>
  </si>
  <si>
    <t>I -  PREÇO MENSAL UNITÁRIO POR M²:</t>
  </si>
  <si>
    <t>Área Interna</t>
  </si>
  <si>
    <t>MÃO DE OBRA</t>
  </si>
  <si>
    <t>(1)
PRODUTIVIDADE
(1/m²)</t>
  </si>
  <si>
    <t>(1 X 2)
SUB-TOTAL
(R$/m²)</t>
  </si>
  <si>
    <t>Servente</t>
  </si>
  <si>
    <t>Área Externa</t>
  </si>
  <si>
    <t>Esquadria - Face Interna/Externa</t>
  </si>
  <si>
    <t>(2)
FREQUÊNCIA NO MÊS
(HORAS)</t>
  </si>
  <si>
    <t>(3)
JORNADA DE
TRABALHO NO MÊS
(HORAS)</t>
  </si>
  <si>
    <t>(4)
( 1 X 2 X 3 )
(ki)</t>
  </si>
  <si>
    <t>(5)
PREÇO HOMEM-MÊS
(R$)</t>
  </si>
  <si>
    <t>(6)
=(4X5) SUBTOTAL
(R$/m²)</t>
  </si>
  <si>
    <t>1/191,40</t>
  </si>
  <si>
    <t>II - VALOR MENSAL DOS SERVIÇOS:</t>
  </si>
  <si>
    <t>LOCAL</t>
  </si>
  <si>
    <t>TIPO DE ÁREA</t>
  </si>
  <si>
    <t>PREÇO MENSAL UNITÁRIO
(R$/m²)</t>
  </si>
  <si>
    <t xml:space="preserve">ÁREA 
(m²)                                        </t>
  </si>
  <si>
    <t>SUB-TOTAL
(R$)</t>
  </si>
  <si>
    <t>Serventes</t>
  </si>
  <si>
    <t xml:space="preserve">TOTAL MENSAL </t>
  </si>
  <si>
    <t>Área interna</t>
  </si>
  <si>
    <t>Área externa</t>
  </si>
  <si>
    <t>Esquadria</t>
  </si>
  <si>
    <t>Área (M2)</t>
  </si>
  <si>
    <t>ESPECIFICAÇÃO</t>
  </si>
  <si>
    <t>PERIODICIDADE</t>
  </si>
  <si>
    <t>UNIDADE</t>
  </si>
  <si>
    <t>QTDE
ESTIMADA</t>
  </si>
  <si>
    <t>Mensal</t>
  </si>
  <si>
    <t>Litro</t>
  </si>
  <si>
    <t>Unidade</t>
  </si>
  <si>
    <t>LUSTRA móvel, com perfume agradável.</t>
  </si>
  <si>
    <t>Unidade de 200 ml</t>
  </si>
  <si>
    <t>PANO DE CHÃO de saco alvejado.</t>
  </si>
  <si>
    <t>fardo</t>
  </si>
  <si>
    <t>Fardo</t>
  </si>
  <si>
    <t>BALDE em material plástico, polietileno de alta densidade</t>
  </si>
  <si>
    <t>Par</t>
  </si>
  <si>
    <t>Escova de nylon 510 mm</t>
  </si>
  <si>
    <t>Aspirador de pó</t>
  </si>
  <si>
    <t>Enceradeira industrial e acessórios.</t>
  </si>
  <si>
    <t>Extensão elétrica</t>
  </si>
  <si>
    <t>Placas de sinalização</t>
  </si>
  <si>
    <t>Carro funcional completo</t>
  </si>
  <si>
    <t>Extratora de carpet Karcher</t>
  </si>
  <si>
    <t>Kit limpeza completo para vidro</t>
  </si>
  <si>
    <t>Suporte de fibra</t>
  </si>
  <si>
    <t>Mop pó</t>
  </si>
  <si>
    <t>VALOR UNIT.</t>
  </si>
  <si>
    <t>VALOR TOTAL</t>
  </si>
  <si>
    <t>UTEM</t>
  </si>
  <si>
    <t>Qtde. semestral</t>
  </si>
  <si>
    <t>Calça comprida com elástico e cordão, em tecido brim ou similar, com emblema da empresa</t>
  </si>
  <si>
    <t>Camisa polo ou camiseta,  em tecido 100% algodão,  com manga curta e gola careca</t>
  </si>
  <si>
    <t>Meia em algodão, tipo soquete</t>
  </si>
  <si>
    <t>Sapato preto com solado antiderrapante, sem cadarço ou tênis</t>
  </si>
  <si>
    <t>Bota de borracha (tipo galocha)</t>
  </si>
  <si>
    <t>Crachá de identificação</t>
  </si>
  <si>
    <t>EQUIPAMENTOS</t>
  </si>
  <si>
    <t>MATERIAIS</t>
  </si>
  <si>
    <t>UNIFORMES / EPI - SERVENTE</t>
  </si>
  <si>
    <t>Calça Social</t>
  </si>
  <si>
    <t>Camisa Social</t>
  </si>
  <si>
    <t>Avental</t>
  </si>
  <si>
    <t>Sapato</t>
  </si>
  <si>
    <t>Meia</t>
  </si>
  <si>
    <t>Touca capilar</t>
  </si>
  <si>
    <t>Gravata/echarpe</t>
  </si>
  <si>
    <t>UNIFORMES / EPI - COPEIRO (A)</t>
  </si>
  <si>
    <t>SERVIÇO PÚBLICO FEDERAL</t>
  </si>
  <si>
    <t>Valor Total Mensal</t>
  </si>
  <si>
    <t>ESPECIFICAÇÃO (considerando depreciação)</t>
  </si>
  <si>
    <t>VALOR TOTAL MENSAL (Por funcionário)</t>
  </si>
  <si>
    <t>17,00% = 0,1700 (percentual estatístico adotado como de empregadas que se afastam por licença maternidade)</t>
  </si>
  <si>
    <t>= [ ( 0,1111 x 0,1700 x 0,3333 ) x 100 ] =</t>
  </si>
  <si>
    <t>= [ 0,0063 x 100 ] =</t>
  </si>
  <si>
    <t>= 0,63%</t>
  </si>
  <si>
    <t>Complemento dos Serviços de Limpeza, Conservação</t>
  </si>
  <si>
    <t>Estatística da Empresa 30% dos empregados são substituídos durante o ano (turnover da empresa)</t>
  </si>
  <si>
    <t>= { [ 0,3000 x (1 ÷ 12) ] x 100 } =</t>
  </si>
  <si>
    <t>= { [ 0,3000 x 0,083333 ] x 100 } =</t>
  </si>
  <si>
    <t>= { 0,024999 x 100 } =</t>
  </si>
  <si>
    <t>= 2,50%</t>
  </si>
  <si>
    <t>Parâmetro: em média 8,00 ausências no ano</t>
  </si>
  <si>
    <t>= { [ (8,00 ÷ 30) ÷ 12 ] x 100 } =</t>
  </si>
  <si>
    <t>= { [ 0,2666 ÷ 12 ] x 100 } =</t>
  </si>
  <si>
    <t>= { 0,0222 x 100 } =</t>
  </si>
  <si>
    <t>= 2,22%</t>
  </si>
  <si>
    <t>Valor Total Mensal (Por funcionário / 05 serventes)</t>
  </si>
  <si>
    <t>Servente de Limpeza (Esquadria)</t>
  </si>
  <si>
    <t>PREÇO DO SERVIÇO (LOTE 1)</t>
  </si>
  <si>
    <t>1.1</t>
  </si>
  <si>
    <t>1.2</t>
  </si>
  <si>
    <t>Quant.</t>
  </si>
  <si>
    <t>Copeiro (a)</t>
  </si>
  <si>
    <t>(2)
PREÇO HOMEM-MÊS (R$)</t>
  </si>
  <si>
    <t>Cuiabá</t>
  </si>
  <si>
    <t>***VALOR TOTAL DO LOTE 01 (ANUAL)***</t>
  </si>
  <si>
    <t>Água sanitária de 1ª qualidade com Registro ANVISA</t>
  </si>
  <si>
    <t>Álcool, de 1ª qualidade, 46° com Registro ANVISA</t>
  </si>
  <si>
    <t>Desinfetante para banheiros e sanitários com Registro ANVISA</t>
  </si>
  <si>
    <t>Desodorizador de ar, cada unidade contendo, ao menos, 360 ml com Registro ANVISA e não agressivo à camada de ozônio.</t>
  </si>
  <si>
    <t>Detergente líquido de 1ª qualidade para limpeza de pisos de banheiros e superfícies brancas, 100% biodegradável com Registro ANVISA</t>
  </si>
  <si>
    <t>Detergente para lavar louça - 500 ml 100% biodegradável com Registro ANVISA</t>
  </si>
  <si>
    <t>Escova de mão</t>
  </si>
  <si>
    <t xml:space="preserve">Escova de nylon 380mm </t>
  </si>
  <si>
    <t>Esponja de fibra com dupla face</t>
  </si>
  <si>
    <t>FLANELA, 100%  algodão, branca para uso geral de 60 x 40 cm.</t>
  </si>
  <si>
    <t>Impermeabilizante de piso  com Registro ANVISA</t>
  </si>
  <si>
    <t>Lã de aço, pacote com 8 unidades</t>
  </si>
  <si>
    <t>Limpa vidros concentrado - com Registro ANVISA</t>
  </si>
  <si>
    <t>Limpador desincrustante com Registro ANVISA</t>
  </si>
  <si>
    <t>Luvas de látex natural de 1° qualidade</t>
  </si>
  <si>
    <t xml:space="preserve">PÁ PARA LIXO EM PLÁSTICO  </t>
  </si>
  <si>
    <t>Papel higiênico de 1ª qualidade, contendo ao menos 30m cada rolo, folha dupla, pacote com 24 un; 100% fibra celulósica. Desejável certificação FSC ou equivalente.</t>
  </si>
  <si>
    <t>Papel toalha branco 2 dobras, pacote com 1.000 folhas, medindo 22x21 cm (interno) e 11x42x22 cm (externo) de 1° qualidade, extraluxo, 100% fibra celulósica . Desejável certificação FSC ou equivalente.</t>
  </si>
  <si>
    <t>Pedra Sanitária, mínimo de 25g, com Registro ANVISA</t>
  </si>
  <si>
    <t>Rodo com 2 borrachas - 40cm de largura, com cabo</t>
  </si>
  <si>
    <t>Rodo com 2 borrachas - 60cm de largura, com cabo</t>
  </si>
  <si>
    <t>Sabão em barra de 1° qualidade 100% biodegradável com Registro ANVISA</t>
  </si>
  <si>
    <t>Sabão em pó, pacote com 1 Kg 100% biodegradável com Registro ANVISA</t>
  </si>
  <si>
    <t>Sabonete líquido de de 1° qualidade (de odor agradável), com ph neutro concentrado  com Registro ANVISA</t>
  </si>
  <si>
    <t>Saco para lixo de 100 litros cada fardo com 100 unidades, cor preta. Material reciclado ou reciclável.</t>
  </si>
  <si>
    <t>Saco para lixo de 40 litros,  cada fardo com 100 unidades, cor preta.Material reciclado ou reciclável.</t>
  </si>
  <si>
    <t>Vassourinha sanitária (para vaso sanitário)</t>
  </si>
  <si>
    <t xml:space="preserve">Vassoura de Pelo de 40 cm </t>
  </si>
  <si>
    <t xml:space="preserve">Vassoura de Piaçava </t>
  </si>
  <si>
    <t xml:space="preserve">Vassoura, material em nylon comprimento </t>
  </si>
  <si>
    <t xml:space="preserve">Mensal </t>
  </si>
  <si>
    <t>A cada 04 meses</t>
  </si>
  <si>
    <t>Galão de 5 litros</t>
  </si>
  <si>
    <t xml:space="preserve">Unidade </t>
  </si>
  <si>
    <t xml:space="preserve">unidade </t>
  </si>
  <si>
    <t xml:space="preserve">Fardo </t>
  </si>
  <si>
    <t>Cx  de 1kg</t>
  </si>
  <si>
    <t>Lavadora de alta pressão</t>
  </si>
  <si>
    <t>Escada extensiva 15 degraus</t>
  </si>
  <si>
    <t xml:space="preserve">DATA DA ABERTURA: </t>
  </si>
  <si>
    <t xml:space="preserve">HORA: </t>
  </si>
  <si>
    <t xml:space="preserve">RAZÃO SOCIAL: </t>
  </si>
  <si>
    <r>
      <t>CNPJ:</t>
    </r>
    <r>
      <rPr>
        <sz val="8"/>
        <rFont val="Arial"/>
        <family val="2"/>
      </rPr>
      <t xml:space="preserve"> </t>
    </r>
  </si>
  <si>
    <r>
      <t>ENDEREÇO:</t>
    </r>
    <r>
      <rPr>
        <sz val="8"/>
        <rFont val="Arial"/>
        <family val="2"/>
      </rPr>
      <t xml:space="preserve"> </t>
    </r>
  </si>
  <si>
    <t xml:space="preserve">FONE/FAX: </t>
  </si>
  <si>
    <r>
      <t>E-MAIL:</t>
    </r>
    <r>
      <rPr>
        <sz val="8"/>
        <rFont val="Arial"/>
        <family val="2"/>
      </rPr>
      <t xml:space="preserve"> </t>
    </r>
  </si>
  <si>
    <r>
      <t>SITE:</t>
    </r>
    <r>
      <rPr>
        <sz val="8"/>
        <rFont val="Arial"/>
        <family val="2"/>
      </rPr>
      <t xml:space="preserve"> </t>
    </r>
  </si>
  <si>
    <r>
      <t>AGENCIA E Nº. DA CONTA NO BANCO DO BRASIL:</t>
    </r>
    <r>
      <rPr>
        <sz val="8"/>
        <rFont val="Arial"/>
        <family val="2"/>
      </rPr>
      <t xml:space="preserve">  </t>
    </r>
  </si>
  <si>
    <t>Contratação, sob a forma de execução indireta, de pessoa jurídica especializada, para prestação dos serviços terceirizados de natureza continuada de limpeza, conservação e copeiragem, para atender o Conselho Regional de Engenharia e Agronomia de Mato Grosso – Crea-MT</t>
  </si>
  <si>
    <t xml:space="preserve">PREGÃO ELETRÔNICO Nº </t>
  </si>
  <si>
    <t>CONSELHO REGIONAL DE ENGENHARIA E AGRONOMIA DE MATO GROSSO</t>
  </si>
  <si>
    <t>Gratificação por grandes quantidades CCT MT000049/2022</t>
  </si>
  <si>
    <t>(Vinte e sete mil, trezentos e dois reais e quarenta e quatro centavos)</t>
  </si>
  <si>
    <t>(Trezentos e vinte e sete mil, seiscentos e vinte e nove reais e vinte e oito centavos)</t>
  </si>
  <si>
    <t>(Quatro mil, seiscentos e oitenta e três reais e vinte e dois centavos)</t>
  </si>
  <si>
    <t>(Cinquenta e seis mil, cento e noventa e oito reais e sessenta e quatro centavos)</t>
  </si>
  <si>
    <t>(Trezentos e oitenta e três mil, oitocentos e vinte e sete reais e noventa e dois centavos)</t>
  </si>
  <si>
    <t>CCT MT000049/2022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</si>
</sst>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 &quot;* #,##0.00_);_(&quot;R$ &quot;* \(#,##0.00\);_(&quot;R$ &quot;* &quot;-&quot;_);_(@_)"/>
    <numFmt numFmtId="174" formatCode="###0;###0"/>
    <numFmt numFmtId="175" formatCode="0.0000000"/>
    <numFmt numFmtId="176" formatCode="[$-416]dddd\,\ d&quot; de &quot;mmmm&quot; de &quot;yyyy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&quot;R$ &quot;#,##0.000"/>
    <numFmt numFmtId="182" formatCode="&quot;R$ &quot;#,##0.0000"/>
    <numFmt numFmtId="183" formatCode="#,##0.0_);\(#,##0.0\)"/>
    <numFmt numFmtId="184" formatCode="#,##0.000"/>
    <numFmt numFmtId="185" formatCode="0.0000"/>
    <numFmt numFmtId="186" formatCode="0.000"/>
    <numFmt numFmtId="187" formatCode="0.0%"/>
    <numFmt numFmtId="188" formatCode="&quot;R$&quot;\ #,##0.00"/>
    <numFmt numFmtId="189" formatCode="#,##0.0;\-#,##0.0"/>
    <numFmt numFmtId="190" formatCode="###0.00;###0.00"/>
    <numFmt numFmtId="191" formatCode="#,##0.00;#,##0.00"/>
    <numFmt numFmtId="192" formatCode="###00;###00"/>
    <numFmt numFmtId="193" formatCode="0.0"/>
    <numFmt numFmtId="194" formatCode="0.00000000"/>
    <numFmt numFmtId="195" formatCode="0.000000"/>
    <numFmt numFmtId="196" formatCode="#,##0.0"/>
    <numFmt numFmtId="197" formatCode="0.00000"/>
    <numFmt numFmtId="198" formatCode="&quot;R$&quot;\ #,##0.000"/>
    <numFmt numFmtId="199" formatCode="&quot;R$&quot;\ #,##0.0000"/>
    <numFmt numFmtId="200" formatCode="#,##0.00\ ;&quot; (&quot;#,##0.00\);&quot; -&quot;#\ ;@\ "/>
    <numFmt numFmtId="201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i/>
      <sz val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hair"/>
      <top style="hair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3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2" fillId="0" borderId="0" xfId="53" applyFont="1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170" fontId="2" fillId="0" borderId="0" xfId="53" applyNumberFormat="1" applyFont="1" applyAlignment="1">
      <alignment vertical="center"/>
      <protection/>
    </xf>
    <xf numFmtId="170" fontId="3" fillId="33" borderId="11" xfId="48" applyFont="1" applyFill="1" applyBorder="1" applyAlignment="1">
      <alignment vertical="center" wrapText="1"/>
    </xf>
    <xf numFmtId="0" fontId="2" fillId="0" borderId="0" xfId="53" applyFont="1" applyAlignment="1">
      <alignment horizontal="right" vertical="center"/>
      <protection/>
    </xf>
    <xf numFmtId="170" fontId="2" fillId="0" borderId="12" xfId="53" applyNumberFormat="1" applyFont="1" applyBorder="1" applyAlignment="1">
      <alignment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70" fontId="3" fillId="0" borderId="14" xfId="53" applyNumberFormat="1" applyFont="1" applyBorder="1" applyAlignment="1">
      <alignment vertical="center" wrapText="1"/>
      <protection/>
    </xf>
    <xf numFmtId="170" fontId="2" fillId="0" borderId="14" xfId="53" applyNumberFormat="1" applyFont="1" applyBorder="1" applyAlignment="1">
      <alignment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170" fontId="3" fillId="0" borderId="12" xfId="48" applyFont="1" applyBorder="1" applyAlignment="1">
      <alignment vertical="center" wrapText="1"/>
    </xf>
    <xf numFmtId="10" fontId="3" fillId="0" borderId="18" xfId="53" applyNumberFormat="1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170" fontId="2" fillId="0" borderId="14" xfId="48" applyFont="1" applyBorder="1" applyAlignment="1">
      <alignment vertical="center" wrapText="1"/>
    </xf>
    <xf numFmtId="10" fontId="2" fillId="0" borderId="20" xfId="53" applyNumberFormat="1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vertical="center" wrapText="1"/>
      <protection/>
    </xf>
    <xf numFmtId="170" fontId="2" fillId="0" borderId="0" xfId="53" applyNumberFormat="1" applyFont="1" applyAlignment="1">
      <alignment horizontal="center" vertical="center"/>
      <protection/>
    </xf>
    <xf numFmtId="170" fontId="4" fillId="0" borderId="0" xfId="48" applyFont="1" applyAlignment="1">
      <alignment horizontal="center" vertical="center"/>
    </xf>
    <xf numFmtId="170" fontId="3" fillId="0" borderId="14" xfId="48" applyFont="1" applyBorder="1" applyAlignment="1">
      <alignment vertical="center" wrapText="1"/>
    </xf>
    <xf numFmtId="10" fontId="3" fillId="0" borderId="20" xfId="53" applyNumberFormat="1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170" fontId="4" fillId="0" borderId="0" xfId="53" applyNumberFormat="1" applyFont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vertical="center" wrapText="1"/>
      <protection/>
    </xf>
    <xf numFmtId="10" fontId="5" fillId="0" borderId="0" xfId="53" applyNumberFormat="1" applyFont="1" applyAlignment="1">
      <alignment horizontal="center" vertical="center"/>
      <protection/>
    </xf>
    <xf numFmtId="10" fontId="6" fillId="0" borderId="0" xfId="53" applyNumberFormat="1" applyFont="1" applyAlignment="1">
      <alignment vertical="center"/>
      <protection/>
    </xf>
    <xf numFmtId="10" fontId="7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10" fontId="4" fillId="0" borderId="0" xfId="53" applyNumberFormat="1" applyFont="1" applyAlignment="1">
      <alignment vertical="center"/>
      <protection/>
    </xf>
    <xf numFmtId="170" fontId="2" fillId="0" borderId="12" xfId="48" applyFont="1" applyBorder="1" applyAlignment="1">
      <alignment vertical="center" wrapText="1"/>
    </xf>
    <xf numFmtId="10" fontId="2" fillId="0" borderId="18" xfId="53" applyNumberFormat="1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vertical="center" wrapText="1"/>
      <protection/>
    </xf>
    <xf numFmtId="0" fontId="2" fillId="0" borderId="24" xfId="53" applyFont="1" applyFill="1" applyBorder="1" applyAlignment="1">
      <alignment vertical="center"/>
      <protection/>
    </xf>
    <xf numFmtId="170" fontId="2" fillId="0" borderId="25" xfId="48" applyFont="1" applyFill="1" applyBorder="1" applyAlignment="1">
      <alignment vertical="center"/>
    </xf>
    <xf numFmtId="0" fontId="2" fillId="0" borderId="26" xfId="53" applyFont="1" applyFill="1" applyBorder="1" applyAlignment="1">
      <alignment vertical="center"/>
      <protection/>
    </xf>
    <xf numFmtId="14" fontId="2" fillId="0" borderId="27" xfId="53" applyNumberFormat="1" applyFont="1" applyBorder="1" applyAlignment="1">
      <alignment horizontal="right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right" vertical="center" wrapText="1"/>
      <protection/>
    </xf>
    <xf numFmtId="170" fontId="3" fillId="0" borderId="29" xfId="48" applyFont="1" applyFill="1" applyBorder="1" applyAlignment="1">
      <alignment vertical="center"/>
    </xf>
    <xf numFmtId="0" fontId="3" fillId="0" borderId="30" xfId="53" applyFont="1" applyFill="1" applyBorder="1" applyAlignment="1">
      <alignment vertical="center"/>
      <protection/>
    </xf>
    <xf numFmtId="173" fontId="2" fillId="0" borderId="31" xfId="79" applyNumberFormat="1" applyFont="1" applyFill="1" applyBorder="1" applyAlignment="1">
      <alignment vertical="center"/>
    </xf>
    <xf numFmtId="170" fontId="3" fillId="0" borderId="31" xfId="48" applyFont="1" applyFill="1" applyBorder="1" applyAlignment="1">
      <alignment vertical="center"/>
    </xf>
    <xf numFmtId="0" fontId="3" fillId="0" borderId="24" xfId="53" applyFont="1" applyFill="1" applyBorder="1" applyAlignment="1">
      <alignment vertical="center"/>
      <protection/>
    </xf>
    <xf numFmtId="171" fontId="2" fillId="0" borderId="31" xfId="79" applyFont="1" applyFill="1" applyBorder="1" applyAlignment="1">
      <alignment vertical="center"/>
    </xf>
    <xf numFmtId="10" fontId="2" fillId="0" borderId="31" xfId="53" applyNumberFormat="1" applyFont="1" applyFill="1" applyBorder="1" applyAlignment="1">
      <alignment vertical="center"/>
      <protection/>
    </xf>
    <xf numFmtId="170" fontId="9" fillId="0" borderId="31" xfId="48" applyFont="1" applyFill="1" applyBorder="1" applyAlignment="1">
      <alignment vertical="center"/>
    </xf>
    <xf numFmtId="0" fontId="2" fillId="0" borderId="27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vertical="center" wrapText="1"/>
      <protection/>
    </xf>
    <xf numFmtId="171" fontId="2" fillId="0" borderId="25" xfId="79" applyFont="1" applyFill="1" applyBorder="1" applyAlignment="1">
      <alignment vertical="center"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/>
      <protection/>
    </xf>
    <xf numFmtId="10" fontId="2" fillId="0" borderId="29" xfId="53" applyNumberFormat="1" applyFont="1" applyFill="1" applyBorder="1" applyAlignment="1">
      <alignment vertical="center"/>
      <protection/>
    </xf>
    <xf numFmtId="0" fontId="2" fillId="0" borderId="30" xfId="53" applyFont="1" applyFill="1" applyBorder="1" applyAlignment="1">
      <alignment vertical="center"/>
      <protection/>
    </xf>
    <xf numFmtId="14" fontId="2" fillId="0" borderId="16" xfId="53" applyNumberFormat="1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vertical="center" wrapText="1"/>
      <protection/>
    </xf>
    <xf numFmtId="10" fontId="2" fillId="0" borderId="25" xfId="53" applyNumberFormat="1" applyFont="1" applyFill="1" applyBorder="1" applyAlignment="1">
      <alignment vertical="center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2" xfId="53" applyFont="1" applyBorder="1" applyAlignment="1">
      <alignment vertical="center" wrapText="1"/>
      <protection/>
    </xf>
    <xf numFmtId="0" fontId="11" fillId="0" borderId="0" xfId="53" applyFont="1" applyAlignment="1">
      <alignment vertical="center"/>
      <protection/>
    </xf>
    <xf numFmtId="0" fontId="2" fillId="0" borderId="0" xfId="53" applyAlignment="1">
      <alignment vertical="center"/>
      <protection/>
    </xf>
    <xf numFmtId="0" fontId="7" fillId="34" borderId="33" xfId="53" applyFont="1" applyFill="1" applyBorder="1" applyAlignment="1">
      <alignment horizontal="center" vertical="center"/>
      <protection/>
    </xf>
    <xf numFmtId="0" fontId="4" fillId="34" borderId="34" xfId="53" applyFont="1" applyFill="1" applyBorder="1" applyAlignment="1">
      <alignment horizontal="center" vertical="center"/>
      <protection/>
    </xf>
    <xf numFmtId="0" fontId="4" fillId="34" borderId="35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7" fillId="34" borderId="37" xfId="53" applyFont="1" applyFill="1" applyBorder="1" applyAlignment="1">
      <alignment horizontal="center"/>
      <protection/>
    </xf>
    <xf numFmtId="0" fontId="4" fillId="34" borderId="38" xfId="53" applyFont="1" applyFill="1" applyBorder="1" applyAlignment="1">
      <alignment horizontal="center" vertical="center"/>
      <protection/>
    </xf>
    <xf numFmtId="0" fontId="4" fillId="34" borderId="39" xfId="53" applyFont="1" applyFill="1" applyBorder="1" applyAlignment="1">
      <alignment horizontal="center" vertical="center"/>
      <protection/>
    </xf>
    <xf numFmtId="0" fontId="4" fillId="34" borderId="40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4" fillId="34" borderId="41" xfId="53" applyFont="1" applyFill="1" applyBorder="1" applyAlignment="1">
      <alignment horizontal="center" vertical="center"/>
      <protection/>
    </xf>
    <xf numFmtId="0" fontId="4" fillId="34" borderId="42" xfId="53" applyFont="1" applyFill="1" applyBorder="1" applyAlignment="1">
      <alignment horizontal="center" vertical="center"/>
      <protection/>
    </xf>
    <xf numFmtId="0" fontId="4" fillId="34" borderId="43" xfId="53" applyFont="1" applyFill="1" applyBorder="1" applyAlignment="1">
      <alignment horizontal="center" vertical="center"/>
      <protection/>
    </xf>
    <xf numFmtId="0" fontId="4" fillId="34" borderId="44" xfId="53" applyFont="1" applyFill="1" applyBorder="1" applyAlignment="1">
      <alignment horizontal="center" vertical="center"/>
      <protection/>
    </xf>
    <xf numFmtId="0" fontId="7" fillId="34" borderId="40" xfId="53" applyFont="1" applyFill="1" applyBorder="1" applyAlignment="1">
      <alignment horizontal="center" vertical="center"/>
      <protection/>
    </xf>
    <xf numFmtId="0" fontId="7" fillId="34" borderId="0" xfId="53" applyFont="1" applyFill="1" applyBorder="1" applyAlignment="1">
      <alignment horizontal="center" vertical="center"/>
      <protection/>
    </xf>
    <xf numFmtId="172" fontId="7" fillId="34" borderId="0" xfId="53" applyNumberFormat="1" applyFont="1" applyFill="1" applyBorder="1" applyAlignment="1">
      <alignment horizontal="center" vertical="center"/>
      <protection/>
    </xf>
    <xf numFmtId="172" fontId="7" fillId="34" borderId="41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>
      <alignment/>
      <protection/>
    </xf>
    <xf numFmtId="0" fontId="2" fillId="34" borderId="40" xfId="53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vertical="center"/>
      <protection/>
    </xf>
    <xf numFmtId="0" fontId="2" fillId="34" borderId="41" xfId="53" applyFont="1" applyFill="1" applyBorder="1" applyAlignment="1">
      <alignment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3" fillId="35" borderId="40" xfId="53" applyFont="1" applyFill="1" applyBorder="1" applyAlignment="1">
      <alignment vertical="center"/>
      <protection/>
    </xf>
    <xf numFmtId="0" fontId="2" fillId="35" borderId="0" xfId="53" applyFont="1" applyFill="1" applyBorder="1" applyAlignment="1">
      <alignment vertical="center"/>
      <protection/>
    </xf>
    <xf numFmtId="0" fontId="2" fillId="35" borderId="41" xfId="53" applyFont="1" applyFill="1" applyBorder="1" applyAlignment="1">
      <alignment vertical="center"/>
      <protection/>
    </xf>
    <xf numFmtId="0" fontId="3" fillId="0" borderId="21" xfId="53" applyFont="1" applyBorder="1" applyAlignment="1">
      <alignment horizontal="justify" vertical="center" wrapText="1"/>
      <protection/>
    </xf>
    <xf numFmtId="0" fontId="2" fillId="0" borderId="20" xfId="53" applyFont="1" applyBorder="1" applyAlignment="1">
      <alignment vertical="center" wrapText="1"/>
      <protection/>
    </xf>
    <xf numFmtId="10" fontId="2" fillId="0" borderId="20" xfId="53" applyNumberFormat="1" applyFont="1" applyBorder="1" applyAlignment="1">
      <alignment horizontal="center" vertical="center"/>
      <protection/>
    </xf>
    <xf numFmtId="10" fontId="3" fillId="0" borderId="20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vertical="center" wrapText="1"/>
      <protection/>
    </xf>
    <xf numFmtId="10" fontId="2" fillId="0" borderId="18" xfId="53" applyNumberFormat="1" applyFont="1" applyBorder="1" applyAlignment="1">
      <alignment horizontal="center" vertical="center"/>
      <protection/>
    </xf>
    <xf numFmtId="0" fontId="3" fillId="0" borderId="22" xfId="53" applyFont="1" applyBorder="1" applyAlignment="1">
      <alignment vertical="center" wrapText="1"/>
      <protection/>
    </xf>
    <xf numFmtId="10" fontId="3" fillId="36" borderId="45" xfId="53" applyNumberFormat="1" applyFont="1" applyFill="1" applyBorder="1" applyAlignment="1">
      <alignment horizontal="center" vertical="center"/>
      <protection/>
    </xf>
    <xf numFmtId="170" fontId="3" fillId="36" borderId="11" xfId="48" applyFont="1" applyFill="1" applyBorder="1" applyAlignment="1">
      <alignment vertical="center" wrapText="1"/>
    </xf>
    <xf numFmtId="10" fontId="3" fillId="36" borderId="45" xfId="53" applyNumberFormat="1" applyFont="1" applyFill="1" applyBorder="1" applyAlignment="1">
      <alignment horizontal="center" vertical="center" wrapText="1"/>
      <protection/>
    </xf>
    <xf numFmtId="0" fontId="2" fillId="36" borderId="46" xfId="53" applyFont="1" applyFill="1" applyBorder="1" applyAlignment="1">
      <alignment vertical="center" wrapText="1"/>
      <protection/>
    </xf>
    <xf numFmtId="170" fontId="3" fillId="36" borderId="11" xfId="53" applyNumberFormat="1" applyFont="1" applyFill="1" applyBorder="1" applyAlignment="1">
      <alignment vertical="center" wrapText="1"/>
      <protection/>
    </xf>
    <xf numFmtId="170" fontId="8" fillId="0" borderId="0" xfId="53" applyNumberFormat="1" applyFont="1" applyAlignment="1">
      <alignment vertical="center"/>
      <protection/>
    </xf>
    <xf numFmtId="0" fontId="2" fillId="0" borderId="26" xfId="53" applyFont="1" applyBorder="1" applyAlignment="1">
      <alignment vertical="center"/>
      <protection/>
    </xf>
    <xf numFmtId="0" fontId="2" fillId="0" borderId="30" xfId="53" applyFont="1" applyBorder="1" applyAlignment="1">
      <alignment vertical="center"/>
      <protection/>
    </xf>
    <xf numFmtId="172" fontId="62" fillId="0" borderId="0" xfId="53" applyNumberFormat="1" applyFont="1" applyAlignment="1">
      <alignment horizontal="center" vertical="center"/>
      <protection/>
    </xf>
    <xf numFmtId="172" fontId="63" fillId="0" borderId="0" xfId="53" applyNumberFormat="1" applyFont="1" applyAlignment="1">
      <alignment horizontal="center" vertical="center"/>
      <protection/>
    </xf>
    <xf numFmtId="172" fontId="63" fillId="0" borderId="0" xfId="53" applyNumberFormat="1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2" fillId="37" borderId="0" xfId="53" applyFont="1" applyFill="1">
      <alignment/>
      <protection/>
    </xf>
    <xf numFmtId="0" fontId="3" fillId="37" borderId="34" xfId="53" applyFont="1" applyFill="1" applyBorder="1">
      <alignment/>
      <protection/>
    </xf>
    <xf numFmtId="0" fontId="2" fillId="37" borderId="35" xfId="53" applyFont="1" applyFill="1" applyBorder="1">
      <alignment/>
      <protection/>
    </xf>
    <xf numFmtId="10" fontId="3" fillId="37" borderId="35" xfId="53" applyNumberFormat="1" applyFont="1" applyFill="1" applyBorder="1" applyAlignment="1">
      <alignment horizontal="center"/>
      <protection/>
    </xf>
    <xf numFmtId="0" fontId="2" fillId="37" borderId="36" xfId="53" applyFont="1" applyFill="1" applyBorder="1">
      <alignment/>
      <protection/>
    </xf>
    <xf numFmtId="0" fontId="2" fillId="37" borderId="40" xfId="53" applyFont="1" applyFill="1" applyBorder="1">
      <alignment/>
      <protection/>
    </xf>
    <xf numFmtId="0" fontId="2" fillId="37" borderId="41" xfId="53" applyFont="1" applyFill="1" applyBorder="1">
      <alignment/>
      <protection/>
    </xf>
    <xf numFmtId="49" fontId="3" fillId="37" borderId="40" xfId="53" applyNumberFormat="1" applyFont="1" applyFill="1" applyBorder="1" applyAlignment="1">
      <alignment horizontal="center" vertical="center" wrapText="1"/>
      <protection/>
    </xf>
    <xf numFmtId="0" fontId="3" fillId="37" borderId="0" xfId="53" applyFont="1" applyFill="1" applyBorder="1" applyAlignment="1">
      <alignment vertical="center" wrapText="1"/>
      <protection/>
    </xf>
    <xf numFmtId="10" fontId="3" fillId="37" borderId="0" xfId="58" applyNumberFormat="1" applyFont="1" applyFill="1" applyBorder="1" applyAlignment="1">
      <alignment horizontal="center" vertical="center"/>
    </xf>
    <xf numFmtId="10" fontId="64" fillId="37" borderId="0" xfId="58" applyNumberFormat="1" applyFont="1" applyFill="1" applyBorder="1" applyAlignment="1">
      <alignment horizontal="center" vertical="center"/>
    </xf>
    <xf numFmtId="49" fontId="3" fillId="37" borderId="37" xfId="53" applyNumberFormat="1" applyFont="1" applyFill="1" applyBorder="1" applyAlignment="1">
      <alignment horizontal="center" vertical="center" wrapText="1"/>
      <protection/>
    </xf>
    <xf numFmtId="0" fontId="3" fillId="37" borderId="38" xfId="53" applyFont="1" applyFill="1" applyBorder="1" applyAlignment="1">
      <alignment vertical="center" wrapText="1"/>
      <protection/>
    </xf>
    <xf numFmtId="10" fontId="3" fillId="37" borderId="38" xfId="58" applyNumberFormat="1" applyFont="1" applyFill="1" applyBorder="1" applyAlignment="1">
      <alignment horizontal="center" vertical="center"/>
    </xf>
    <xf numFmtId="0" fontId="2" fillId="37" borderId="38" xfId="53" applyFont="1" applyFill="1" applyBorder="1">
      <alignment/>
      <protection/>
    </xf>
    <xf numFmtId="0" fontId="2" fillId="37" borderId="39" xfId="53" applyFont="1" applyFill="1" applyBorder="1">
      <alignment/>
      <protection/>
    </xf>
    <xf numFmtId="2" fontId="64" fillId="0" borderId="0" xfId="53" applyNumberFormat="1" applyFont="1" applyAlignment="1">
      <alignment horizontal="center" vertical="center"/>
      <protection/>
    </xf>
    <xf numFmtId="0" fontId="2" fillId="37" borderId="0" xfId="53" applyFont="1" applyFill="1" applyBorder="1" applyAlignment="1">
      <alignment horizontal="left"/>
      <protection/>
    </xf>
    <xf numFmtId="0" fontId="2" fillId="37" borderId="0" xfId="53" applyFont="1" applyFill="1" applyBorder="1" applyAlignment="1" quotePrefix="1">
      <alignment horizontal="left"/>
      <protection/>
    </xf>
    <xf numFmtId="0" fontId="3" fillId="37" borderId="0" xfId="53" applyFont="1" applyFill="1" applyBorder="1">
      <alignment/>
      <protection/>
    </xf>
    <xf numFmtId="0" fontId="2" fillId="37" borderId="37" xfId="53" applyFont="1" applyFill="1" applyBorder="1">
      <alignment/>
      <protection/>
    </xf>
    <xf numFmtId="10" fontId="3" fillId="0" borderId="0" xfId="60" applyNumberFormat="1" applyFont="1" applyAlignment="1">
      <alignment horizontal="center" vertical="center"/>
    </xf>
    <xf numFmtId="10" fontId="2" fillId="37" borderId="0" xfId="58" applyNumberFormat="1" applyFont="1" applyFill="1" applyBorder="1" applyAlignment="1">
      <alignment horizontal="center" vertical="center"/>
    </xf>
    <xf numFmtId="185" fontId="64" fillId="0" borderId="0" xfId="53" applyNumberFormat="1" applyFont="1" applyAlignment="1">
      <alignment horizontal="center" vertical="center"/>
      <protection/>
    </xf>
    <xf numFmtId="0" fontId="2" fillId="37" borderId="34" xfId="53" applyFont="1" applyFill="1" applyBorder="1">
      <alignment/>
      <protection/>
    </xf>
    <xf numFmtId="0" fontId="2" fillId="0" borderId="24" xfId="53" applyFont="1" applyBorder="1" applyAlignment="1">
      <alignment vertical="center"/>
      <protection/>
    </xf>
    <xf numFmtId="0" fontId="2" fillId="37" borderId="0" xfId="53" applyFont="1" applyFill="1" applyBorder="1">
      <alignment/>
      <protection/>
    </xf>
    <xf numFmtId="0" fontId="65" fillId="0" borderId="0" xfId="53" applyFont="1" applyAlignment="1">
      <alignment horizontal="left" vertical="center"/>
      <protection/>
    </xf>
    <xf numFmtId="1" fontId="62" fillId="0" borderId="0" xfId="53" applyNumberFormat="1" applyFont="1" applyAlignment="1">
      <alignment horizontal="center" vertical="center"/>
      <protection/>
    </xf>
    <xf numFmtId="188" fontId="2" fillId="0" borderId="0" xfId="53" applyNumberFormat="1" applyFont="1" applyAlignment="1">
      <alignment vertical="center"/>
      <protection/>
    </xf>
    <xf numFmtId="188" fontId="65" fillId="0" borderId="0" xfId="53" applyNumberFormat="1" applyFont="1" applyAlignment="1">
      <alignment vertical="center"/>
      <protection/>
    </xf>
    <xf numFmtId="0" fontId="2" fillId="0" borderId="32" xfId="53" applyFont="1" applyBorder="1" applyAlignment="1">
      <alignment horizontal="center" vertical="center" wrapText="1"/>
      <protection/>
    </xf>
    <xf numFmtId="0" fontId="7" fillId="38" borderId="15" xfId="53" applyFont="1" applyFill="1" applyBorder="1" applyAlignment="1">
      <alignment horizontal="center" vertical="center"/>
      <protection/>
    </xf>
    <xf numFmtId="188" fontId="7" fillId="38" borderId="20" xfId="53" applyNumberFormat="1" applyFont="1" applyFill="1" applyBorder="1" applyAlignment="1">
      <alignment horizontal="center" vertical="center"/>
      <protection/>
    </xf>
    <xf numFmtId="188" fontId="4" fillId="34" borderId="20" xfId="53" applyNumberFormat="1" applyFont="1" applyFill="1" applyBorder="1" applyAlignment="1">
      <alignment horizontal="center" vertical="center" wrapText="1"/>
      <protection/>
    </xf>
    <xf numFmtId="0" fontId="7" fillId="38" borderId="20" xfId="53" applyFont="1" applyFill="1" applyBorder="1" applyAlignment="1">
      <alignment horizontal="center" vertical="center" wrapText="1"/>
      <protection/>
    </xf>
    <xf numFmtId="0" fontId="2" fillId="37" borderId="0" xfId="53" applyFont="1" applyFill="1" applyBorder="1" quotePrefix="1">
      <alignment/>
      <protection/>
    </xf>
    <xf numFmtId="44" fontId="2" fillId="0" borderId="25" xfId="56" applyNumberFormat="1" applyFont="1" applyBorder="1" applyAlignment="1">
      <alignment vertical="center"/>
    </xf>
    <xf numFmtId="44" fontId="2" fillId="0" borderId="31" xfId="56" applyNumberFormat="1" applyFont="1" applyBorder="1" applyAlignment="1">
      <alignment vertical="center"/>
    </xf>
    <xf numFmtId="44" fontId="2" fillId="0" borderId="29" xfId="56" applyNumberFormat="1" applyFont="1" applyBorder="1" applyAlignment="1">
      <alignment vertical="center"/>
    </xf>
    <xf numFmtId="0" fontId="2" fillId="37" borderId="0" xfId="53" applyFont="1" applyFill="1" applyBorder="1" quotePrefix="1">
      <alignment/>
      <protection/>
    </xf>
    <xf numFmtId="195" fontId="64" fillId="0" borderId="0" xfId="53" applyNumberFormat="1" applyFont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vertical="center"/>
    </xf>
    <xf numFmtId="170" fontId="2" fillId="0" borderId="25" xfId="46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0" fontId="2" fillId="0" borderId="31" xfId="46" applyFont="1" applyFill="1" applyBorder="1" applyAlignment="1">
      <alignment vertical="center"/>
    </xf>
    <xf numFmtId="0" fontId="7" fillId="34" borderId="38" xfId="53" applyFont="1" applyFill="1" applyBorder="1" applyAlignment="1">
      <alignment horizontal="center"/>
      <protection/>
    </xf>
    <xf numFmtId="0" fontId="7" fillId="38" borderId="47" xfId="53" applyFont="1" applyFill="1" applyBorder="1" applyAlignment="1">
      <alignment horizontal="center" vertical="center"/>
      <protection/>
    </xf>
    <xf numFmtId="0" fontId="4" fillId="34" borderId="47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170" fontId="8" fillId="0" borderId="0" xfId="48" applyFont="1" applyFill="1" applyBorder="1" applyAlignment="1">
      <alignment vertical="center"/>
    </xf>
    <xf numFmtId="0" fontId="2" fillId="0" borderId="0" xfId="53" applyFont="1" applyBorder="1" applyAlignment="1">
      <alignment vertical="center"/>
      <protection/>
    </xf>
    <xf numFmtId="170" fontId="2" fillId="0" borderId="29" xfId="48" applyFont="1" applyFill="1" applyBorder="1" applyAlignment="1">
      <alignment vertical="center"/>
    </xf>
    <xf numFmtId="0" fontId="2" fillId="37" borderId="48" xfId="53" applyFont="1" applyFill="1" applyBorder="1" applyAlignment="1">
      <alignment horizontal="center" vertical="center"/>
      <protection/>
    </xf>
    <xf numFmtId="0" fontId="2" fillId="37" borderId="49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37" borderId="0" xfId="53" applyFont="1" applyFill="1" applyBorder="1">
      <alignment/>
      <protection/>
    </xf>
    <xf numFmtId="0" fontId="2" fillId="34" borderId="35" xfId="53" applyFont="1" applyFill="1" applyBorder="1" applyAlignment="1">
      <alignment vertical="center"/>
      <protection/>
    </xf>
    <xf numFmtId="0" fontId="3" fillId="36" borderId="50" xfId="53" applyFont="1" applyFill="1" applyBorder="1" applyAlignment="1">
      <alignment horizontal="center" vertical="center" wrapText="1"/>
      <protection/>
    </xf>
    <xf numFmtId="0" fontId="3" fillId="36" borderId="51" xfId="53" applyFont="1" applyFill="1" applyBorder="1" applyAlignment="1">
      <alignment horizontal="center" vertical="center" wrapText="1"/>
      <protection/>
    </xf>
    <xf numFmtId="0" fontId="3" fillId="36" borderId="52" xfId="53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>
      <alignment vertical="center"/>
      <protection/>
    </xf>
    <xf numFmtId="0" fontId="2" fillId="0" borderId="22" xfId="53" applyFont="1" applyBorder="1" applyAlignment="1">
      <alignment horizontal="center" vertical="center"/>
      <protection/>
    </xf>
    <xf numFmtId="188" fontId="2" fillId="0" borderId="22" xfId="48" applyNumberFormat="1" applyFont="1" applyBorder="1" applyAlignment="1">
      <alignment horizontal="center" vertical="center"/>
    </xf>
    <xf numFmtId="166" fontId="2" fillId="0" borderId="16" xfId="48" applyNumberFormat="1" applyFont="1" applyBorder="1" applyAlignment="1">
      <alignment horizontal="center" vertical="center"/>
    </xf>
    <xf numFmtId="0" fontId="2" fillId="0" borderId="28" xfId="53" applyFont="1" applyBorder="1" applyAlignment="1">
      <alignment vertical="center"/>
      <protection/>
    </xf>
    <xf numFmtId="0" fontId="2" fillId="0" borderId="32" xfId="53" applyFont="1" applyBorder="1" applyAlignment="1">
      <alignment horizontal="center" vertical="center"/>
      <protection/>
    </xf>
    <xf numFmtId="188" fontId="2" fillId="0" borderId="32" xfId="48" applyNumberFormat="1" applyFont="1" applyBorder="1" applyAlignment="1">
      <alignment horizontal="center" vertical="center"/>
    </xf>
    <xf numFmtId="166" fontId="2" fillId="0" borderId="27" xfId="48" applyNumberFormat="1" applyFont="1" applyBorder="1" applyAlignment="1">
      <alignment horizontal="center" vertical="center"/>
    </xf>
    <xf numFmtId="0" fontId="3" fillId="34" borderId="0" xfId="53" applyFont="1" applyFill="1" applyBorder="1" applyAlignment="1">
      <alignment horizontal="right" vertical="center"/>
      <protection/>
    </xf>
    <xf numFmtId="166" fontId="3" fillId="36" borderId="53" xfId="53" applyNumberFormat="1" applyFont="1" applyFill="1" applyBorder="1" applyAlignment="1">
      <alignment horizontal="center" vertical="center"/>
      <protection/>
    </xf>
    <xf numFmtId="166" fontId="3" fillId="37" borderId="0" xfId="53" applyNumberFormat="1" applyFont="1" applyFill="1" applyBorder="1" applyAlignment="1">
      <alignment horizontal="center" vertical="center"/>
      <protection/>
    </xf>
    <xf numFmtId="0" fontId="3" fillId="36" borderId="46" xfId="53" applyFont="1" applyFill="1" applyBorder="1" applyAlignment="1">
      <alignment horizontal="center" vertical="center" wrapText="1"/>
      <protection/>
    </xf>
    <xf numFmtId="0" fontId="3" fillId="36" borderId="45" xfId="53" applyFont="1" applyFill="1" applyBorder="1" applyAlignment="1">
      <alignment horizontal="center" vertical="center" wrapText="1"/>
      <protection/>
    </xf>
    <xf numFmtId="0" fontId="3" fillId="36" borderId="11" xfId="53" applyFont="1" applyFill="1" applyBorder="1" applyAlignment="1">
      <alignment horizontal="center" vertical="center" wrapText="1"/>
      <protection/>
    </xf>
    <xf numFmtId="0" fontId="2" fillId="0" borderId="54" xfId="53" applyFont="1" applyBorder="1" applyAlignment="1">
      <alignment vertical="center"/>
      <protection/>
    </xf>
    <xf numFmtId="0" fontId="2" fillId="0" borderId="55" xfId="53" applyFont="1" applyBorder="1" applyAlignment="1">
      <alignment horizontal="center" vertical="center"/>
      <protection/>
    </xf>
    <xf numFmtId="175" fontId="2" fillId="0" borderId="55" xfId="53" applyNumberFormat="1" applyFont="1" applyBorder="1" applyAlignment="1">
      <alignment horizontal="center" vertical="center"/>
      <protection/>
    </xf>
    <xf numFmtId="166" fontId="2" fillId="0" borderId="56" xfId="48" applyNumberFormat="1" applyFont="1" applyBorder="1" applyAlignment="1">
      <alignment horizontal="center" vertical="center"/>
    </xf>
    <xf numFmtId="175" fontId="2" fillId="0" borderId="32" xfId="53" applyNumberFormat="1" applyFont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3" fillId="39" borderId="0" xfId="53" applyFont="1" applyFill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172" fontId="2" fillId="0" borderId="22" xfId="53" applyNumberFormat="1" applyFont="1" applyBorder="1" applyAlignment="1">
      <alignment horizontal="center" vertical="center"/>
      <protection/>
    </xf>
    <xf numFmtId="39" fontId="2" fillId="34" borderId="22" xfId="79" applyNumberFormat="1" applyFont="1" applyFill="1" applyBorder="1" applyAlignment="1">
      <alignment horizontal="center" vertical="center"/>
    </xf>
    <xf numFmtId="172" fontId="2" fillId="0" borderId="16" xfId="48" applyNumberFormat="1" applyFont="1" applyBorder="1" applyAlignment="1">
      <alignment horizontal="center" vertical="center"/>
    </xf>
    <xf numFmtId="172" fontId="2" fillId="34" borderId="0" xfId="48" applyNumberFormat="1" applyFont="1" applyFill="1" applyBorder="1" applyAlignment="1">
      <alignment horizontal="center" vertical="center"/>
    </xf>
    <xf numFmtId="4" fontId="2" fillId="0" borderId="0" xfId="53" applyNumberFormat="1" applyFont="1" applyAlignment="1">
      <alignment horizontal="center" vertical="center"/>
      <protection/>
    </xf>
    <xf numFmtId="172" fontId="2" fillId="0" borderId="55" xfId="53" applyNumberFormat="1" applyFont="1" applyBorder="1" applyAlignment="1">
      <alignment horizontal="center" vertical="center"/>
      <protection/>
    </xf>
    <xf numFmtId="39" fontId="2" fillId="34" borderId="55" xfId="79" applyNumberFormat="1" applyFont="1" applyFill="1" applyBorder="1" applyAlignment="1">
      <alignment horizontal="center" vertical="center"/>
    </xf>
    <xf numFmtId="172" fontId="2" fillId="0" borderId="56" xfId="48" applyNumberFormat="1" applyFont="1" applyBorder="1" applyAlignment="1">
      <alignment horizontal="center" vertical="center"/>
    </xf>
    <xf numFmtId="172" fontId="3" fillId="36" borderId="11" xfId="79" applyNumberFormat="1" applyFont="1" applyFill="1" applyBorder="1" applyAlignment="1">
      <alignment horizontal="center" vertical="center"/>
    </xf>
    <xf numFmtId="172" fontId="3" fillId="34" borderId="0" xfId="79" applyNumberFormat="1" applyFont="1" applyFill="1" applyBorder="1" applyAlignment="1">
      <alignment horizontal="center" vertical="center"/>
    </xf>
    <xf numFmtId="4" fontId="3" fillId="0" borderId="0" xfId="53" applyNumberFormat="1" applyFont="1" applyAlignment="1">
      <alignment horizontal="center" vertical="center"/>
      <protection/>
    </xf>
    <xf numFmtId="172" fontId="9" fillId="0" borderId="0" xfId="53" applyNumberFormat="1" applyFont="1" applyAlignment="1">
      <alignment horizontal="center" vertical="center"/>
      <protection/>
    </xf>
    <xf numFmtId="170" fontId="2" fillId="0" borderId="0" xfId="51" applyFont="1" applyAlignment="1">
      <alignment vertical="center"/>
    </xf>
    <xf numFmtId="170" fontId="65" fillId="0" borderId="0" xfId="51" applyFont="1" applyAlignment="1">
      <alignment vertical="center"/>
    </xf>
    <xf numFmtId="4" fontId="4" fillId="34" borderId="20" xfId="53" applyNumberFormat="1" applyFont="1" applyFill="1" applyBorder="1" applyAlignment="1">
      <alignment horizontal="center" vertical="center" wrapText="1"/>
      <protection/>
    </xf>
    <xf numFmtId="188" fontId="63" fillId="0" borderId="0" xfId="53" applyNumberFormat="1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21" fillId="0" borderId="57" xfId="0" applyFont="1" applyBorder="1" applyAlignment="1">
      <alignment horizontal="left" vertical="center" wrapText="1"/>
    </xf>
    <xf numFmtId="174" fontId="21" fillId="0" borderId="57" xfId="0" applyNumberFormat="1" applyFont="1" applyBorder="1" applyAlignment="1">
      <alignment horizontal="center" vertical="center" wrapText="1"/>
    </xf>
    <xf numFmtId="170" fontId="66" fillId="0" borderId="20" xfId="48" applyFont="1" applyBorder="1" applyAlignment="1">
      <alignment vertical="center"/>
    </xf>
    <xf numFmtId="0" fontId="21" fillId="0" borderId="58" xfId="0" applyFont="1" applyBorder="1" applyAlignment="1">
      <alignment horizontal="left" vertical="center" wrapText="1"/>
    </xf>
    <xf numFmtId="174" fontId="21" fillId="0" borderId="58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left" vertical="center" wrapText="1"/>
    </xf>
    <xf numFmtId="170" fontId="66" fillId="0" borderId="18" xfId="48" applyFont="1" applyBorder="1" applyAlignment="1">
      <alignment vertical="center"/>
    </xf>
    <xf numFmtId="0" fontId="21" fillId="0" borderId="6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70" fontId="22" fillId="40" borderId="20" xfId="0" applyNumberFormat="1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174" fontId="21" fillId="0" borderId="20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 wrapText="1"/>
    </xf>
    <xf numFmtId="174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4" fontId="24" fillId="0" borderId="57" xfId="0" applyNumberFormat="1" applyFont="1" applyBorder="1" applyAlignment="1">
      <alignment horizontal="center" vertical="center" wrapText="1"/>
    </xf>
    <xf numFmtId="4" fontId="24" fillId="0" borderId="58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 horizontal="center" vertical="center"/>
    </xf>
    <xf numFmtId="4" fontId="66" fillId="0" borderId="18" xfId="0" applyNumberFormat="1" applyFont="1" applyBorder="1" applyAlignment="1">
      <alignment horizontal="center" vertical="center"/>
    </xf>
    <xf numFmtId="4" fontId="67" fillId="0" borderId="61" xfId="0" applyNumberFormat="1" applyFont="1" applyBorder="1" applyAlignment="1">
      <alignment horizontal="center"/>
    </xf>
    <xf numFmtId="0" fontId="23" fillId="0" borderId="6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174" fontId="21" fillId="0" borderId="64" xfId="0" applyNumberFormat="1" applyFont="1" applyBorder="1" applyAlignment="1">
      <alignment horizontal="center" vertical="center" wrapText="1"/>
    </xf>
    <xf numFmtId="4" fontId="24" fillId="0" borderId="65" xfId="0" applyNumberFormat="1" applyFont="1" applyBorder="1" applyAlignment="1">
      <alignment horizontal="center" vertical="center" wrapText="1"/>
    </xf>
    <xf numFmtId="174" fontId="21" fillId="0" borderId="66" xfId="0" applyNumberFormat="1" applyFont="1" applyBorder="1" applyAlignment="1">
      <alignment horizontal="center" vertical="center" wrapText="1"/>
    </xf>
    <xf numFmtId="174" fontId="21" fillId="0" borderId="15" xfId="0" applyNumberFormat="1" applyFont="1" applyBorder="1" applyAlignment="1">
      <alignment horizontal="center" vertical="center" wrapText="1"/>
    </xf>
    <xf numFmtId="4" fontId="66" fillId="0" borderId="14" xfId="0" applyNumberFormat="1" applyFont="1" applyBorder="1" applyAlignment="1">
      <alignment horizontal="center" vertical="center"/>
    </xf>
    <xf numFmtId="174" fontId="21" fillId="0" borderId="13" xfId="0" applyNumberFormat="1" applyFont="1" applyBorder="1" applyAlignment="1">
      <alignment horizontal="center" vertical="center" wrapText="1"/>
    </xf>
    <xf numFmtId="4" fontId="24" fillId="0" borderId="67" xfId="0" applyNumberFormat="1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/>
    </xf>
    <xf numFmtId="174" fontId="21" fillId="0" borderId="18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4" fontId="66" fillId="0" borderId="18" xfId="0" applyNumberFormat="1" applyFont="1" applyBorder="1" applyAlignment="1">
      <alignment/>
    </xf>
    <xf numFmtId="170" fontId="67" fillId="0" borderId="61" xfId="46" applyFont="1" applyBorder="1" applyAlignment="1">
      <alignment/>
    </xf>
    <xf numFmtId="0" fontId="4" fillId="34" borderId="13" xfId="53" applyFont="1" applyFill="1" applyBorder="1" applyAlignment="1">
      <alignment horizontal="center" vertical="center"/>
      <protection/>
    </xf>
    <xf numFmtId="0" fontId="3" fillId="36" borderId="70" xfId="53" applyFont="1" applyFill="1" applyBorder="1" applyAlignment="1">
      <alignment horizontal="center" vertical="center" wrapText="1"/>
      <protection/>
    </xf>
    <xf numFmtId="0" fontId="2" fillId="37" borderId="0" xfId="53" applyFont="1" applyFill="1" applyBorder="1" quotePrefix="1">
      <alignment/>
      <protection/>
    </xf>
    <xf numFmtId="10" fontId="2" fillId="0" borderId="0" xfId="56" applyNumberFormat="1" applyFont="1" applyAlignment="1">
      <alignment vertical="center"/>
    </xf>
    <xf numFmtId="188" fontId="2" fillId="0" borderId="0" xfId="53" applyNumberFormat="1" applyAlignment="1">
      <alignment vertical="center"/>
      <protection/>
    </xf>
    <xf numFmtId="0" fontId="3" fillId="34" borderId="0" xfId="53" applyFont="1" applyFill="1" applyBorder="1" applyAlignment="1">
      <alignment vertical="center"/>
      <protection/>
    </xf>
    <xf numFmtId="170" fontId="2" fillId="34" borderId="0" xfId="48" applyFont="1" applyFill="1" applyBorder="1" applyAlignment="1">
      <alignment vertical="center"/>
    </xf>
    <xf numFmtId="170" fontId="3" fillId="34" borderId="0" xfId="48" applyFont="1" applyFill="1" applyBorder="1" applyAlignment="1">
      <alignment vertical="center"/>
    </xf>
    <xf numFmtId="188" fontId="63" fillId="0" borderId="0" xfId="53" applyNumberFormat="1" applyFont="1" applyFill="1" applyAlignment="1">
      <alignment horizontal="center" vertical="center"/>
      <protection/>
    </xf>
    <xf numFmtId="172" fontId="63" fillId="0" borderId="0" xfId="53" applyNumberFormat="1" applyFont="1" applyFill="1" applyAlignment="1">
      <alignment horizontal="center" vertical="center"/>
      <protection/>
    </xf>
    <xf numFmtId="0" fontId="2" fillId="0" borderId="0" xfId="53" applyFill="1" applyAlignment="1">
      <alignment vertical="center"/>
      <protection/>
    </xf>
    <xf numFmtId="0" fontId="68" fillId="0" borderId="20" xfId="0" applyFont="1" applyBorder="1" applyAlignment="1">
      <alignment horizontal="justify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0" xfId="53" applyFont="1" applyBorder="1" applyAlignment="1">
      <alignment horizontal="center" vertical="center" wrapText="1"/>
      <protection/>
    </xf>
    <xf numFmtId="170" fontId="2" fillId="37" borderId="14" xfId="53" applyNumberFormat="1" applyFont="1" applyFill="1" applyBorder="1" applyAlignment="1">
      <alignment horizontal="right" vertical="center" wrapText="1"/>
      <protection/>
    </xf>
    <xf numFmtId="170" fontId="2" fillId="37" borderId="14" xfId="53" applyNumberFormat="1" applyFont="1" applyFill="1" applyBorder="1" applyAlignment="1">
      <alignment vertical="center" wrapText="1"/>
      <protection/>
    </xf>
    <xf numFmtId="0" fontId="7" fillId="34" borderId="40" xfId="53" applyFont="1" applyFill="1" applyBorder="1" applyAlignment="1">
      <alignment horizontal="left"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41" xfId="53" applyFont="1" applyFill="1" applyBorder="1" applyAlignment="1">
      <alignment horizontal="left" vertical="center"/>
      <protection/>
    </xf>
    <xf numFmtId="0" fontId="14" fillId="34" borderId="71" xfId="53" applyFont="1" applyFill="1" applyBorder="1" applyAlignment="1">
      <alignment horizontal="center" vertical="center"/>
      <protection/>
    </xf>
    <xf numFmtId="0" fontId="14" fillId="34" borderId="47" xfId="53" applyFont="1" applyFill="1" applyBorder="1" applyAlignment="1">
      <alignment horizontal="center" vertical="center"/>
      <protection/>
    </xf>
    <xf numFmtId="0" fontId="14" fillId="34" borderId="72" xfId="53" applyFont="1" applyFill="1" applyBorder="1" applyAlignment="1">
      <alignment horizontal="center" vertical="center"/>
      <protection/>
    </xf>
    <xf numFmtId="0" fontId="7" fillId="4" borderId="71" xfId="53" applyFont="1" applyFill="1" applyBorder="1" applyAlignment="1">
      <alignment horizontal="center" vertical="center"/>
      <protection/>
    </xf>
    <xf numFmtId="0" fontId="7" fillId="4" borderId="47" xfId="53" applyFont="1" applyFill="1" applyBorder="1" applyAlignment="1">
      <alignment horizontal="center" vertical="center"/>
      <protection/>
    </xf>
    <xf numFmtId="0" fontId="7" fillId="4" borderId="73" xfId="53" applyFont="1" applyFill="1" applyBorder="1" applyAlignment="1">
      <alignment horizontal="center" vertical="center"/>
      <protection/>
    </xf>
    <xf numFmtId="172" fontId="7" fillId="4" borderId="20" xfId="53" applyNumberFormat="1" applyFont="1" applyFill="1" applyBorder="1" applyAlignment="1">
      <alignment horizontal="center" vertical="center"/>
      <protection/>
    </xf>
    <xf numFmtId="172" fontId="7" fillId="4" borderId="14" xfId="53" applyNumberFormat="1" applyFont="1" applyFill="1" applyBorder="1" applyAlignment="1">
      <alignment horizontal="center" vertical="center"/>
      <protection/>
    </xf>
    <xf numFmtId="0" fontId="6" fillId="0" borderId="74" xfId="53" applyFont="1" applyFill="1" applyBorder="1" applyAlignment="1">
      <alignment horizontal="center" vertical="center"/>
      <protection/>
    </xf>
    <xf numFmtId="0" fontId="6" fillId="0" borderId="75" xfId="53" applyFont="1" applyFill="1" applyBorder="1" applyAlignment="1">
      <alignment horizontal="center" vertical="center"/>
      <protection/>
    </xf>
    <xf numFmtId="0" fontId="6" fillId="0" borderId="76" xfId="53" applyFont="1" applyFill="1" applyBorder="1" applyAlignment="1">
      <alignment horizontal="center" vertical="center"/>
      <protection/>
    </xf>
    <xf numFmtId="0" fontId="7" fillId="41" borderId="71" xfId="53" applyFont="1" applyFill="1" applyBorder="1" applyAlignment="1">
      <alignment horizontal="center" vertical="center"/>
      <protection/>
    </xf>
    <xf numFmtId="0" fontId="7" fillId="41" borderId="47" xfId="53" applyFont="1" applyFill="1" applyBorder="1" applyAlignment="1">
      <alignment horizontal="center" vertical="center"/>
      <protection/>
    </xf>
    <xf numFmtId="0" fontId="7" fillId="41" borderId="73" xfId="53" applyFont="1" applyFill="1" applyBorder="1" applyAlignment="1">
      <alignment horizontal="center" vertical="center"/>
      <protection/>
    </xf>
    <xf numFmtId="172" fontId="7" fillId="41" borderId="21" xfId="53" applyNumberFormat="1" applyFont="1" applyFill="1" applyBorder="1" applyAlignment="1">
      <alignment horizontal="center" vertical="center"/>
      <protection/>
    </xf>
    <xf numFmtId="172" fontId="7" fillId="41" borderId="72" xfId="53" applyNumberFormat="1" applyFont="1" applyFill="1" applyBorder="1" applyAlignment="1">
      <alignment horizontal="center" vertical="center"/>
      <protection/>
    </xf>
    <xf numFmtId="172" fontId="7" fillId="41" borderId="20" xfId="53" applyNumberFormat="1" applyFont="1" applyFill="1" applyBorder="1" applyAlignment="1">
      <alignment horizontal="center" vertical="center"/>
      <protection/>
    </xf>
    <xf numFmtId="172" fontId="7" fillId="41" borderId="14" xfId="53" applyNumberFormat="1" applyFont="1" applyFill="1" applyBorder="1" applyAlignment="1">
      <alignment horizontal="center" vertical="center"/>
      <protection/>
    </xf>
    <xf numFmtId="0" fontId="4" fillId="34" borderId="40" xfId="53" applyFont="1" applyFill="1" applyBorder="1" applyAlignment="1">
      <alignment horizontal="justify" vertical="center" wrapText="1"/>
      <protection/>
    </xf>
    <xf numFmtId="0" fontId="4" fillId="34" borderId="0" xfId="53" applyFont="1" applyFill="1" applyBorder="1" applyAlignment="1">
      <alignment horizontal="justify" vertical="center" wrapText="1"/>
      <protection/>
    </xf>
    <xf numFmtId="0" fontId="4" fillId="34" borderId="41" xfId="53" applyFont="1" applyFill="1" applyBorder="1" applyAlignment="1">
      <alignment horizontal="justify" vertical="center" wrapText="1"/>
      <protection/>
    </xf>
    <xf numFmtId="0" fontId="7" fillId="38" borderId="21" xfId="53" applyFont="1" applyFill="1" applyBorder="1" applyAlignment="1">
      <alignment horizontal="center" vertical="center"/>
      <protection/>
    </xf>
    <xf numFmtId="0" fontId="7" fillId="38" borderId="72" xfId="53" applyFont="1" applyFill="1" applyBorder="1" applyAlignment="1">
      <alignment horizontal="center" vertical="center"/>
      <protection/>
    </xf>
    <xf numFmtId="0" fontId="7" fillId="38" borderId="73" xfId="53" applyFont="1" applyFill="1" applyBorder="1" applyAlignment="1">
      <alignment horizontal="center" vertical="center"/>
      <protection/>
    </xf>
    <xf numFmtId="172" fontId="4" fillId="34" borderId="21" xfId="53" applyNumberFormat="1" applyFont="1" applyFill="1" applyBorder="1" applyAlignment="1">
      <alignment horizontal="center" vertical="center"/>
      <protection/>
    </xf>
    <xf numFmtId="172" fontId="4" fillId="34" borderId="73" xfId="53" applyNumberFormat="1" applyFont="1" applyFill="1" applyBorder="1" applyAlignment="1">
      <alignment horizontal="center" vertical="center"/>
      <protection/>
    </xf>
    <xf numFmtId="0" fontId="3" fillId="39" borderId="34" xfId="53" applyFont="1" applyFill="1" applyBorder="1" applyAlignment="1">
      <alignment horizontal="center" vertical="center" wrapText="1"/>
      <protection/>
    </xf>
    <xf numFmtId="0" fontId="3" fillId="39" borderId="35" xfId="53" applyFont="1" applyFill="1" applyBorder="1" applyAlignment="1">
      <alignment horizontal="center" vertical="center" wrapText="1"/>
      <protection/>
    </xf>
    <xf numFmtId="0" fontId="3" fillId="39" borderId="36" xfId="53" applyFont="1" applyFill="1" applyBorder="1" applyAlignment="1">
      <alignment horizontal="center" vertical="center" wrapText="1"/>
      <protection/>
    </xf>
    <xf numFmtId="0" fontId="3" fillId="39" borderId="37" xfId="53" applyFont="1" applyFill="1" applyBorder="1" applyAlignment="1">
      <alignment horizontal="center" vertical="center" wrapText="1"/>
      <protection/>
    </xf>
    <xf numFmtId="0" fontId="3" fillId="39" borderId="38" xfId="53" applyFont="1" applyFill="1" applyBorder="1" applyAlignment="1">
      <alignment horizontal="center" vertical="center" wrapText="1"/>
      <protection/>
    </xf>
    <xf numFmtId="0" fontId="3" fillId="39" borderId="39" xfId="53" applyFont="1" applyFill="1" applyBorder="1" applyAlignment="1">
      <alignment horizontal="center" vertical="center" wrapText="1"/>
      <protection/>
    </xf>
    <xf numFmtId="0" fontId="7" fillId="34" borderId="40" xfId="53" applyFont="1" applyFill="1" applyBorder="1" applyAlignment="1">
      <alignment horizontal="center" vertical="center"/>
      <protection/>
    </xf>
    <xf numFmtId="0" fontId="7" fillId="34" borderId="0" xfId="53" applyFont="1" applyFill="1" applyBorder="1" applyAlignment="1">
      <alignment horizontal="center" vertical="center"/>
      <protection/>
    </xf>
    <xf numFmtId="0" fontId="7" fillId="34" borderId="41" xfId="53" applyFont="1" applyFill="1" applyBorder="1" applyAlignment="1">
      <alignment horizontal="center" vertical="center"/>
      <protection/>
    </xf>
    <xf numFmtId="0" fontId="7" fillId="34" borderId="40" xfId="53" applyNumberFormat="1" applyFont="1" applyFill="1" applyBorder="1" applyAlignment="1">
      <alignment horizontal="center" vertical="center"/>
      <protection/>
    </xf>
    <xf numFmtId="0" fontId="7" fillId="34" borderId="0" xfId="53" applyNumberFormat="1" applyFont="1" applyFill="1" applyBorder="1" applyAlignment="1">
      <alignment horizontal="center" vertical="center"/>
      <protection/>
    </xf>
    <xf numFmtId="0" fontId="7" fillId="34" borderId="41" xfId="53" applyNumberFormat="1" applyFont="1" applyFill="1" applyBorder="1" applyAlignment="1">
      <alignment horizontal="center" vertical="center"/>
      <protection/>
    </xf>
    <xf numFmtId="0" fontId="7" fillId="34" borderId="70" xfId="53" applyFont="1" applyFill="1" applyBorder="1" applyAlignment="1">
      <alignment horizontal="center" vertical="center"/>
      <protection/>
    </xf>
    <xf numFmtId="0" fontId="7" fillId="34" borderId="33" xfId="53" applyFont="1" applyFill="1" applyBorder="1" applyAlignment="1">
      <alignment horizontal="center" vertical="center"/>
      <protection/>
    </xf>
    <xf numFmtId="0" fontId="7" fillId="34" borderId="61" xfId="53" applyFont="1" applyFill="1" applyBorder="1" applyAlignment="1">
      <alignment horizontal="center" vertical="center"/>
      <protection/>
    </xf>
    <xf numFmtId="0" fontId="7" fillId="39" borderId="40" xfId="53" applyFont="1" applyFill="1" applyBorder="1" applyAlignment="1">
      <alignment horizontal="center" vertical="center"/>
      <protection/>
    </xf>
    <xf numFmtId="0" fontId="7" fillId="39" borderId="0" xfId="53" applyFont="1" applyFill="1" applyBorder="1" applyAlignment="1">
      <alignment horizontal="center" vertical="center"/>
      <protection/>
    </xf>
    <xf numFmtId="0" fontId="7" fillId="39" borderId="41" xfId="53" applyFont="1" applyFill="1" applyBorder="1" applyAlignment="1">
      <alignment horizontal="center" vertical="center"/>
      <protection/>
    </xf>
    <xf numFmtId="0" fontId="7" fillId="39" borderId="37" xfId="53" applyFont="1" applyFill="1" applyBorder="1" applyAlignment="1">
      <alignment horizontal="center" vertical="center"/>
      <protection/>
    </xf>
    <xf numFmtId="0" fontId="7" fillId="39" borderId="38" xfId="53" applyFont="1" applyFill="1" applyBorder="1" applyAlignment="1">
      <alignment horizontal="center" vertical="center"/>
      <protection/>
    </xf>
    <xf numFmtId="0" fontId="7" fillId="39" borderId="39" xfId="53" applyFont="1" applyFill="1" applyBorder="1" applyAlignment="1">
      <alignment horizontal="center" vertical="center"/>
      <protection/>
    </xf>
    <xf numFmtId="172" fontId="4" fillId="0" borderId="21" xfId="53" applyNumberFormat="1" applyFont="1" applyBorder="1" applyAlignment="1">
      <alignment horizontal="center" vertical="center"/>
      <protection/>
    </xf>
    <xf numFmtId="172" fontId="4" fillId="0" borderId="72" xfId="53" applyNumberFormat="1" applyFont="1" applyBorder="1" applyAlignment="1">
      <alignment horizontal="center" vertical="center"/>
      <protection/>
    </xf>
    <xf numFmtId="0" fontId="7" fillId="39" borderId="70" xfId="53" applyFont="1" applyFill="1" applyBorder="1" applyAlignment="1">
      <alignment horizontal="center" vertical="center"/>
      <protection/>
    </xf>
    <xf numFmtId="0" fontId="7" fillId="39" borderId="33" xfId="53" applyFont="1" applyFill="1" applyBorder="1" applyAlignment="1">
      <alignment horizontal="center" vertical="center"/>
      <protection/>
    </xf>
    <xf numFmtId="0" fontId="7" fillId="39" borderId="61" xfId="53" applyFont="1" applyFill="1" applyBorder="1" applyAlignment="1">
      <alignment horizontal="center" vertical="center"/>
      <protection/>
    </xf>
    <xf numFmtId="0" fontId="4" fillId="34" borderId="34" xfId="53" applyFont="1" applyFill="1" applyBorder="1" applyAlignment="1">
      <alignment horizontal="center" vertical="center"/>
      <protection/>
    </xf>
    <xf numFmtId="0" fontId="4" fillId="34" borderId="35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77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78" xfId="53" applyFont="1" applyBorder="1" applyAlignment="1">
      <alignment horizontal="center" vertical="center" wrapText="1"/>
      <protection/>
    </xf>
    <xf numFmtId="0" fontId="3" fillId="33" borderId="70" xfId="53" applyFont="1" applyFill="1" applyBorder="1" applyAlignment="1">
      <alignment horizontal="center" vertical="center" wrapText="1"/>
      <protection/>
    </xf>
    <xf numFmtId="0" fontId="3" fillId="33" borderId="33" xfId="53" applyFont="1" applyFill="1" applyBorder="1" applyAlignment="1">
      <alignment horizontal="center" vertical="center" wrapText="1"/>
      <protection/>
    </xf>
    <xf numFmtId="0" fontId="3" fillId="33" borderId="79" xfId="53" applyFont="1" applyFill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3" fillId="0" borderId="71" xfId="53" applyFont="1" applyBorder="1" applyAlignment="1">
      <alignment horizontal="center" vertical="center" wrapText="1"/>
      <protection/>
    </xf>
    <xf numFmtId="0" fontId="3" fillId="0" borderId="47" xfId="53" applyFont="1" applyBorder="1" applyAlignment="1">
      <alignment horizontal="center" vertical="center" wrapText="1"/>
      <protection/>
    </xf>
    <xf numFmtId="0" fontId="3" fillId="0" borderId="73" xfId="53" applyFont="1" applyBorder="1" applyAlignment="1">
      <alignment horizontal="center" vertical="center" wrapText="1"/>
      <protection/>
    </xf>
    <xf numFmtId="0" fontId="3" fillId="36" borderId="70" xfId="53" applyFont="1" applyFill="1" applyBorder="1" applyAlignment="1">
      <alignment horizontal="center" vertical="center" wrapText="1"/>
      <protection/>
    </xf>
    <xf numFmtId="0" fontId="3" fillId="36" borderId="79" xfId="53" applyFont="1" applyFill="1" applyBorder="1" applyAlignment="1">
      <alignment horizontal="center" vertical="center" wrapText="1"/>
      <protection/>
    </xf>
    <xf numFmtId="0" fontId="3" fillId="35" borderId="40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horizontal="center" vertical="center"/>
      <protection/>
    </xf>
    <xf numFmtId="0" fontId="3" fillId="35" borderId="41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left" vertical="center" wrapText="1"/>
      <protection/>
    </xf>
    <xf numFmtId="0" fontId="3" fillId="36" borderId="80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justify" vertical="center" wrapText="1"/>
      <protection/>
    </xf>
    <xf numFmtId="0" fontId="2" fillId="0" borderId="73" xfId="53" applyFont="1" applyBorder="1" applyAlignment="1">
      <alignment horizontal="justify" vertical="center" wrapText="1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73" xfId="53" applyFont="1" applyBorder="1" applyAlignment="1">
      <alignment horizontal="left" vertical="center" wrapText="1"/>
      <protection/>
    </xf>
    <xf numFmtId="0" fontId="2" fillId="0" borderId="81" xfId="53" applyFont="1" applyBorder="1" applyAlignment="1">
      <alignment horizontal="left" vertical="center" wrapText="1"/>
      <protection/>
    </xf>
    <xf numFmtId="0" fontId="2" fillId="0" borderId="49" xfId="53" applyFont="1" applyBorder="1" applyAlignment="1">
      <alignment horizontal="left" vertical="center" wrapText="1"/>
      <protection/>
    </xf>
    <xf numFmtId="0" fontId="2" fillId="0" borderId="32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82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3" fillId="35" borderId="34" xfId="53" applyFont="1" applyFill="1" applyBorder="1" applyAlignment="1">
      <alignment horizontal="center" vertical="center"/>
      <protection/>
    </xf>
    <xf numFmtId="0" fontId="3" fillId="35" borderId="35" xfId="53" applyFont="1" applyFill="1" applyBorder="1" applyAlignment="1">
      <alignment horizontal="center" vertical="center"/>
      <protection/>
    </xf>
    <xf numFmtId="0" fontId="3" fillId="35" borderId="36" xfId="53" applyFont="1" applyFill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41" xfId="53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right" vertical="center" wrapText="1"/>
      <protection/>
    </xf>
    <xf numFmtId="49" fontId="2" fillId="0" borderId="44" xfId="53" applyNumberFormat="1" applyFont="1" applyBorder="1" applyAlignment="1">
      <alignment horizontal="right" vertical="center" wrapText="1"/>
      <protection/>
    </xf>
    <xf numFmtId="49" fontId="2" fillId="0" borderId="81" xfId="53" applyNumberFormat="1" applyFont="1" applyBorder="1" applyAlignment="1">
      <alignment horizontal="right" vertical="center" wrapText="1"/>
      <protection/>
    </xf>
    <xf numFmtId="49" fontId="2" fillId="0" borderId="83" xfId="53" applyNumberFormat="1" applyFont="1" applyBorder="1" applyAlignment="1">
      <alignment horizontal="right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" fillId="0" borderId="50" xfId="53" applyFont="1" applyBorder="1" applyAlignment="1">
      <alignment horizontal="center" vertical="center" wrapText="1"/>
      <protection/>
    </xf>
    <xf numFmtId="0" fontId="2" fillId="0" borderId="77" xfId="53" applyFont="1" applyBorder="1" applyAlignment="1">
      <alignment horizontal="center" vertical="center" wrapText="1"/>
      <protection/>
    </xf>
    <xf numFmtId="0" fontId="3" fillId="36" borderId="70" xfId="53" applyFont="1" applyFill="1" applyBorder="1" applyAlignment="1">
      <alignment horizontal="center" vertical="center"/>
      <protection/>
    </xf>
    <xf numFmtId="0" fontId="3" fillId="36" borderId="33" xfId="53" applyFont="1" applyFill="1" applyBorder="1" applyAlignment="1">
      <alignment horizontal="center" vertical="center"/>
      <protection/>
    </xf>
    <xf numFmtId="0" fontId="3" fillId="35" borderId="70" xfId="53" applyFont="1" applyFill="1" applyBorder="1" applyAlignment="1">
      <alignment horizontal="center" vertical="center"/>
      <protection/>
    </xf>
    <xf numFmtId="0" fontId="3" fillId="35" borderId="33" xfId="53" applyFont="1" applyFill="1" applyBorder="1" applyAlignment="1">
      <alignment horizontal="center" vertical="center"/>
      <protection/>
    </xf>
    <xf numFmtId="0" fontId="3" fillId="35" borderId="6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right" vertical="center"/>
      <protection/>
    </xf>
    <xf numFmtId="0" fontId="3" fillId="34" borderId="84" xfId="53" applyFont="1" applyFill="1" applyBorder="1" applyAlignment="1">
      <alignment horizontal="right" vertical="center"/>
      <protection/>
    </xf>
    <xf numFmtId="0" fontId="67" fillId="0" borderId="70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9" fillId="0" borderId="7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40" borderId="20" xfId="0" applyFont="1" applyFill="1" applyBorder="1" applyAlignment="1">
      <alignment horizontal="center" vertical="center" wrapText="1"/>
    </xf>
    <xf numFmtId="0" fontId="2" fillId="37" borderId="0" xfId="53" applyFont="1" applyFill="1" applyBorder="1" quotePrefix="1">
      <alignment/>
      <protection/>
    </xf>
    <xf numFmtId="0" fontId="2" fillId="37" borderId="0" xfId="53" applyFont="1" applyFill="1" applyBorder="1">
      <alignment/>
      <protection/>
    </xf>
    <xf numFmtId="0" fontId="2" fillId="37" borderId="0" xfId="53" applyFont="1" applyFill="1" applyBorder="1" applyAlignment="1">
      <alignment horizontal="justify" wrapText="1"/>
      <protection/>
    </xf>
    <xf numFmtId="0" fontId="2" fillId="37" borderId="41" xfId="53" applyFont="1" applyFill="1" applyBorder="1" applyAlignment="1">
      <alignment horizontal="justify" wrapText="1"/>
      <protection/>
    </xf>
    <xf numFmtId="0" fontId="3" fillId="37" borderId="0" xfId="53" applyFont="1" applyFill="1" applyAlignment="1">
      <alignment horizontal="center"/>
      <protection/>
    </xf>
    <xf numFmtId="0" fontId="3" fillId="37" borderId="0" xfId="53" applyFont="1" applyFill="1" applyBorder="1" applyAlignment="1">
      <alignment horizontal="center" vertical="center" textRotation="90" wrapText="1"/>
      <protection/>
    </xf>
    <xf numFmtId="0" fontId="3" fillId="37" borderId="38" xfId="53" applyFont="1" applyFill="1" applyBorder="1" applyAlignment="1">
      <alignment horizontal="center" vertical="center" textRotation="90" wrapText="1"/>
      <protection/>
    </xf>
    <xf numFmtId="0" fontId="2" fillId="37" borderId="0" xfId="53" applyFont="1" applyFill="1" applyBorder="1" applyAlignment="1">
      <alignment horizontal="justify" vertical="center" wrapText="1"/>
      <protection/>
    </xf>
    <xf numFmtId="0" fontId="2" fillId="37" borderId="41" xfId="53" applyFont="1" applyFill="1" applyBorder="1" applyAlignment="1">
      <alignment horizontal="justify" vertical="center" wrapText="1"/>
      <protection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Moeda 3 2" xfId="51"/>
    <cellStyle name="Neutro" xfId="52"/>
    <cellStyle name="Normal 2" xfId="53"/>
    <cellStyle name="Normal 3" xfId="54"/>
    <cellStyle name="Nota" xfId="55"/>
    <cellStyle name="Percent" xfId="56"/>
    <cellStyle name="Porcentagem 2" xfId="57"/>
    <cellStyle name="Porcentagem 3" xfId="58"/>
    <cellStyle name="Porcentagem 4" xfId="59"/>
    <cellStyle name="Porcentagem 4 2" xfId="60"/>
    <cellStyle name="Porcentagem 4 2 2" xfId="61"/>
    <cellStyle name="Ruim" xfId="62"/>
    <cellStyle name="Saída" xfId="63"/>
    <cellStyle name="Comma [0]" xfId="64"/>
    <cellStyle name="Separador de milhares 2" xfId="65"/>
    <cellStyle name="Separador de milhares 2 2" xfId="66"/>
    <cellStyle name="Separador de milhares 3" xfId="67"/>
    <cellStyle name="Texto de Aviso" xfId="68"/>
    <cellStyle name="Texto Explicativo" xfId="69"/>
    <cellStyle name="Título" xfId="70"/>
    <cellStyle name="Título 1" xfId="71"/>
    <cellStyle name="Título 1 1" xfId="72"/>
    <cellStyle name="Título 2" xfId="73"/>
    <cellStyle name="Título 3" xfId="74"/>
    <cellStyle name="Título 4" xfId="75"/>
    <cellStyle name="Título 5" xfId="76"/>
    <cellStyle name="Total" xfId="77"/>
    <cellStyle name="Comma" xfId="78"/>
    <cellStyle name="Vírgula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00\Servidor\Documentos\Comercial\LICITA&#199;&#213;ES\Proposta\P&#250;blico\LIMPEZA\2015\MG\IF%20Reitoria%20(MG)%20PRE%2038-2015%20-%20Limpeza%20e%20Jardinagem%20(13.05.20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00\Servidor\Documentos\Comercial\LICITA&#199;&#213;ES\Proposta\P&#250;blico\LIMPEZA\2014\DF\AGU%20(DF)%20PRE%2021-2014%20-%20Limpeza%20(30.05.2014)%20-%20Lance%20fin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Encargos Socia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Servente"/>
      <sheetName val="Servente Insalubre"/>
      <sheetName val="Jauzeiro"/>
      <sheetName val="Encarregado"/>
      <sheetName val="Anexo"/>
      <sheetName val="Materiais e Equipam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45"/>
  <sheetViews>
    <sheetView tabSelected="1" view="pageBreakPreview" zoomScaleSheetLayoutView="100" zoomScalePageLayoutView="0" workbookViewId="0" topLeftCell="A22">
      <selection activeCell="E51" sqref="E51"/>
    </sheetView>
  </sheetViews>
  <sheetFormatPr defaultColWidth="9.140625" defaultRowHeight="15"/>
  <cols>
    <col min="1" max="1" width="8.8515625" style="83" customWidth="1"/>
    <col min="2" max="2" width="17.28125" style="83" customWidth="1"/>
    <col min="3" max="3" width="11.28125" style="84" customWidth="1"/>
    <col min="4" max="4" width="15.8515625" style="84" customWidth="1"/>
    <col min="5" max="5" width="9.7109375" style="84" customWidth="1"/>
    <col min="6" max="6" width="9.00390625" style="84" customWidth="1"/>
    <col min="7" max="7" width="11.7109375" style="84" customWidth="1"/>
    <col min="8" max="8" width="9.57421875" style="84" customWidth="1"/>
    <col min="9" max="9" width="15.57421875" style="109" customWidth="1"/>
    <col min="10" max="10" width="15.421875" style="84" customWidth="1"/>
    <col min="11" max="11" width="13.140625" style="84" bestFit="1" customWidth="1"/>
    <col min="12" max="16384" width="9.140625" style="84" customWidth="1"/>
  </cols>
  <sheetData>
    <row r="1" spans="1:9" s="65" customFormat="1" ht="9.75" customHeight="1">
      <c r="A1" s="304" t="s">
        <v>117</v>
      </c>
      <c r="B1" s="305"/>
      <c r="C1" s="305"/>
      <c r="D1" s="305"/>
      <c r="E1" s="305"/>
      <c r="F1" s="305"/>
      <c r="G1" s="305"/>
      <c r="H1" s="306"/>
      <c r="I1" s="108"/>
    </row>
    <row r="2" spans="1:9" s="65" customFormat="1" ht="9.75" customHeight="1" thickBot="1">
      <c r="A2" s="307"/>
      <c r="B2" s="308"/>
      <c r="C2" s="308"/>
      <c r="D2" s="308"/>
      <c r="E2" s="308"/>
      <c r="F2" s="308"/>
      <c r="G2" s="308"/>
      <c r="H2" s="309"/>
      <c r="I2" s="108"/>
    </row>
    <row r="3" spans="1:9" s="65" customFormat="1" ht="12.75">
      <c r="A3" s="310" t="s">
        <v>304</v>
      </c>
      <c r="B3" s="311"/>
      <c r="C3" s="311"/>
      <c r="D3" s="311"/>
      <c r="E3" s="311"/>
      <c r="F3" s="311"/>
      <c r="G3" s="311"/>
      <c r="H3" s="312"/>
      <c r="I3" s="108"/>
    </row>
    <row r="4" spans="1:9" s="65" customFormat="1" ht="12.75">
      <c r="A4" s="310" t="s">
        <v>383</v>
      </c>
      <c r="B4" s="311"/>
      <c r="C4" s="311"/>
      <c r="D4" s="311"/>
      <c r="E4" s="311"/>
      <c r="F4" s="311"/>
      <c r="G4" s="311"/>
      <c r="H4" s="312"/>
      <c r="I4" s="108"/>
    </row>
    <row r="5" spans="1:9" s="65" customFormat="1" ht="12.75">
      <c r="A5" s="310" t="s">
        <v>382</v>
      </c>
      <c r="B5" s="311"/>
      <c r="C5" s="311"/>
      <c r="D5" s="311"/>
      <c r="E5" s="311"/>
      <c r="F5" s="311"/>
      <c r="G5" s="311"/>
      <c r="H5" s="312"/>
      <c r="I5" s="108"/>
    </row>
    <row r="6" spans="1:9" s="65" customFormat="1" ht="5.25" customHeight="1" thickBot="1">
      <c r="A6" s="313"/>
      <c r="B6" s="314"/>
      <c r="C6" s="314"/>
      <c r="D6" s="314"/>
      <c r="E6" s="314"/>
      <c r="F6" s="314"/>
      <c r="G6" s="314"/>
      <c r="H6" s="315"/>
      <c r="I6" s="108"/>
    </row>
    <row r="7" spans="1:9" s="65" customFormat="1" ht="13.5" thickBot="1">
      <c r="A7" s="316" t="s">
        <v>372</v>
      </c>
      <c r="B7" s="317"/>
      <c r="C7" s="317"/>
      <c r="D7" s="317"/>
      <c r="E7" s="317"/>
      <c r="F7" s="66"/>
      <c r="G7" s="316" t="s">
        <v>373</v>
      </c>
      <c r="H7" s="318"/>
      <c r="I7" s="108"/>
    </row>
    <row r="8" spans="1:9" s="65" customFormat="1" ht="13.5" thickBot="1">
      <c r="A8" s="319" t="s">
        <v>118</v>
      </c>
      <c r="B8" s="320"/>
      <c r="C8" s="320"/>
      <c r="D8" s="320"/>
      <c r="E8" s="320"/>
      <c r="F8" s="320"/>
      <c r="G8" s="320"/>
      <c r="H8" s="321"/>
      <c r="I8" s="108"/>
    </row>
    <row r="9" spans="1:9" s="65" customFormat="1" ht="6.75" customHeight="1">
      <c r="A9" s="67"/>
      <c r="B9" s="68"/>
      <c r="C9" s="68"/>
      <c r="D9" s="68"/>
      <c r="E9" s="68"/>
      <c r="F9" s="68"/>
      <c r="G9" s="68"/>
      <c r="H9" s="69"/>
      <c r="I9" s="108"/>
    </row>
    <row r="10" spans="1:9" s="65" customFormat="1" ht="12.75">
      <c r="A10" s="275" t="s">
        <v>374</v>
      </c>
      <c r="B10" s="276"/>
      <c r="C10" s="276"/>
      <c r="D10" s="276"/>
      <c r="E10" s="276"/>
      <c r="F10" s="276"/>
      <c r="G10" s="276"/>
      <c r="H10" s="277"/>
      <c r="I10" s="108"/>
    </row>
    <row r="11" spans="1:9" s="65" customFormat="1" ht="12.75">
      <c r="A11" s="275" t="s">
        <v>375</v>
      </c>
      <c r="B11" s="276"/>
      <c r="C11" s="276"/>
      <c r="D11" s="276"/>
      <c r="E11" s="276"/>
      <c r="F11" s="276"/>
      <c r="G11" s="276"/>
      <c r="H11" s="277"/>
      <c r="I11" s="108"/>
    </row>
    <row r="12" spans="1:9" s="65" customFormat="1" ht="12.75">
      <c r="A12" s="275" t="s">
        <v>376</v>
      </c>
      <c r="B12" s="276"/>
      <c r="C12" s="276"/>
      <c r="D12" s="276"/>
      <c r="E12" s="276"/>
      <c r="F12" s="276"/>
      <c r="G12" s="276"/>
      <c r="H12" s="277"/>
      <c r="I12" s="108"/>
    </row>
    <row r="13" spans="1:9" s="65" customFormat="1" ht="12.75">
      <c r="A13" s="275" t="s">
        <v>377</v>
      </c>
      <c r="B13" s="276"/>
      <c r="C13" s="276"/>
      <c r="D13" s="276"/>
      <c r="E13" s="276"/>
      <c r="F13" s="276"/>
      <c r="G13" s="276"/>
      <c r="H13" s="277"/>
      <c r="I13" s="108"/>
    </row>
    <row r="14" spans="1:9" s="65" customFormat="1" ht="12.75">
      <c r="A14" s="275" t="s">
        <v>378</v>
      </c>
      <c r="B14" s="276"/>
      <c r="C14" s="276"/>
      <c r="D14" s="276"/>
      <c r="E14" s="276"/>
      <c r="F14" s="276"/>
      <c r="G14" s="276"/>
      <c r="H14" s="277"/>
      <c r="I14" s="108"/>
    </row>
    <row r="15" spans="1:9" s="65" customFormat="1" ht="12.75">
      <c r="A15" s="275" t="s">
        <v>379</v>
      </c>
      <c r="B15" s="276"/>
      <c r="C15" s="276"/>
      <c r="D15" s="276"/>
      <c r="E15" s="276"/>
      <c r="F15" s="276"/>
      <c r="G15" s="276"/>
      <c r="H15" s="277"/>
      <c r="I15" s="108"/>
    </row>
    <row r="16" spans="1:9" s="65" customFormat="1" ht="12.75">
      <c r="A16" s="275" t="s">
        <v>380</v>
      </c>
      <c r="B16" s="276"/>
      <c r="C16" s="276"/>
      <c r="D16" s="276"/>
      <c r="E16" s="276"/>
      <c r="F16" s="276"/>
      <c r="G16" s="276"/>
      <c r="H16" s="277"/>
      <c r="I16" s="108"/>
    </row>
    <row r="17" spans="1:9" s="65" customFormat="1" ht="9.75" customHeight="1" thickBot="1">
      <c r="A17" s="70"/>
      <c r="B17" s="161"/>
      <c r="C17" s="71"/>
      <c r="D17" s="71"/>
      <c r="E17" s="71"/>
      <c r="F17" s="71"/>
      <c r="G17" s="71"/>
      <c r="H17" s="72"/>
      <c r="I17" s="108"/>
    </row>
    <row r="18" spans="1:9" s="65" customFormat="1" ht="13.5" thickBot="1">
      <c r="A18" s="322" t="s">
        <v>119</v>
      </c>
      <c r="B18" s="323"/>
      <c r="C18" s="323"/>
      <c r="D18" s="323"/>
      <c r="E18" s="323"/>
      <c r="F18" s="323"/>
      <c r="G18" s="323"/>
      <c r="H18" s="324"/>
      <c r="I18" s="108"/>
    </row>
    <row r="19" spans="1:9" s="65" customFormat="1" ht="11.25" customHeight="1">
      <c r="A19" s="330"/>
      <c r="B19" s="331"/>
      <c r="C19" s="331"/>
      <c r="D19" s="331"/>
      <c r="E19" s="331"/>
      <c r="F19" s="331"/>
      <c r="G19" s="331"/>
      <c r="H19" s="332"/>
      <c r="I19" s="108"/>
    </row>
    <row r="20" spans="1:9" s="65" customFormat="1" ht="49.5" customHeight="1">
      <c r="A20" s="296" t="s">
        <v>381</v>
      </c>
      <c r="B20" s="297"/>
      <c r="C20" s="297"/>
      <c r="D20" s="297"/>
      <c r="E20" s="297"/>
      <c r="F20" s="297"/>
      <c r="G20" s="297"/>
      <c r="H20" s="298"/>
      <c r="I20" s="108"/>
    </row>
    <row r="21" spans="1:9" s="65" customFormat="1" ht="11.25" customHeight="1" thickBot="1">
      <c r="A21" s="73"/>
      <c r="B21" s="74"/>
      <c r="C21" s="74"/>
      <c r="D21" s="74"/>
      <c r="E21" s="74"/>
      <c r="F21" s="74"/>
      <c r="G21" s="74"/>
      <c r="H21" s="75"/>
      <c r="I21" s="108"/>
    </row>
    <row r="22" spans="1:10" s="65" customFormat="1" ht="13.5" thickBot="1">
      <c r="A22" s="327" t="s">
        <v>120</v>
      </c>
      <c r="B22" s="328"/>
      <c r="C22" s="328"/>
      <c r="D22" s="328"/>
      <c r="E22" s="328"/>
      <c r="F22" s="328"/>
      <c r="G22" s="328"/>
      <c r="H22" s="329"/>
      <c r="I22" s="108"/>
      <c r="J22" s="65" t="s">
        <v>190</v>
      </c>
    </row>
    <row r="23" spans="1:9" s="65" customFormat="1" ht="10.5" customHeight="1">
      <c r="A23" s="73"/>
      <c r="B23" s="74"/>
      <c r="C23" s="74"/>
      <c r="D23" s="74"/>
      <c r="E23" s="74"/>
      <c r="F23" s="74"/>
      <c r="G23" s="74"/>
      <c r="H23" s="75"/>
      <c r="I23" s="108"/>
    </row>
    <row r="24" spans="1:9" s="65" customFormat="1" ht="28.5" customHeight="1">
      <c r="A24" s="296" t="s">
        <v>121</v>
      </c>
      <c r="B24" s="297"/>
      <c r="C24" s="297"/>
      <c r="D24" s="297"/>
      <c r="E24" s="297"/>
      <c r="F24" s="297"/>
      <c r="G24" s="297"/>
      <c r="H24" s="298"/>
      <c r="I24" s="108"/>
    </row>
    <row r="25" spans="1:9" s="65" customFormat="1" ht="10.5" customHeight="1" thickBot="1">
      <c r="A25" s="73"/>
      <c r="B25" s="74"/>
      <c r="C25" s="74"/>
      <c r="D25" s="74"/>
      <c r="E25" s="74"/>
      <c r="F25" s="74"/>
      <c r="G25" s="74"/>
      <c r="H25" s="75"/>
      <c r="I25" s="108"/>
    </row>
    <row r="26" spans="1:9" s="65" customFormat="1" ht="13.5" thickBot="1">
      <c r="A26" s="327" t="s">
        <v>325</v>
      </c>
      <c r="B26" s="328"/>
      <c r="C26" s="328"/>
      <c r="D26" s="328"/>
      <c r="E26" s="328"/>
      <c r="F26" s="328"/>
      <c r="G26" s="328"/>
      <c r="H26" s="329"/>
      <c r="I26" s="108"/>
    </row>
    <row r="27" spans="1:9" s="65" customFormat="1" ht="12.75">
      <c r="A27" s="76"/>
      <c r="B27" s="77"/>
      <c r="C27" s="77"/>
      <c r="D27" s="77"/>
      <c r="E27" s="77"/>
      <c r="F27" s="77"/>
      <c r="G27" s="77"/>
      <c r="H27" s="78"/>
      <c r="I27" s="108"/>
    </row>
    <row r="28" spans="1:9" s="65" customFormat="1" ht="18" customHeight="1">
      <c r="A28" s="146" t="s">
        <v>215</v>
      </c>
      <c r="B28" s="162" t="s">
        <v>122</v>
      </c>
      <c r="C28" s="149" t="s">
        <v>258</v>
      </c>
      <c r="D28" s="147" t="s">
        <v>191</v>
      </c>
      <c r="E28" s="299" t="s">
        <v>123</v>
      </c>
      <c r="F28" s="301"/>
      <c r="G28" s="299" t="s">
        <v>198</v>
      </c>
      <c r="H28" s="300"/>
      <c r="I28" s="108"/>
    </row>
    <row r="29" spans="1:10" s="65" customFormat="1" ht="18" customHeight="1">
      <c r="A29" s="333" t="s">
        <v>326</v>
      </c>
      <c r="B29" s="163" t="s">
        <v>255</v>
      </c>
      <c r="C29" s="212">
        <f>Anexo!E28</f>
        <v>2033.56</v>
      </c>
      <c r="D29" s="148">
        <f>Anexo!D28</f>
        <v>9.63</v>
      </c>
      <c r="E29" s="302">
        <f>ROUND(D29*C29,2)</f>
        <v>19583.18</v>
      </c>
      <c r="F29" s="303"/>
      <c r="G29" s="325">
        <f>ROUND(E29*12,2)</f>
        <v>234998.16</v>
      </c>
      <c r="H29" s="326"/>
      <c r="I29" s="213">
        <f>12730.08*12</f>
        <v>152760.96</v>
      </c>
      <c r="J29" s="107"/>
    </row>
    <row r="30" spans="1:10" s="65" customFormat="1" ht="18" customHeight="1">
      <c r="A30" s="334"/>
      <c r="B30" s="163" t="s">
        <v>256</v>
      </c>
      <c r="C30" s="212">
        <f>Anexo!E29</f>
        <v>1498.18</v>
      </c>
      <c r="D30" s="148">
        <f>Anexo!D29</f>
        <v>4.81</v>
      </c>
      <c r="E30" s="302">
        <f>ROUND(D30*C30,2)</f>
        <v>7206.25</v>
      </c>
      <c r="F30" s="303"/>
      <c r="G30" s="325">
        <f>ROUND(E30*12,2)</f>
        <v>86475</v>
      </c>
      <c r="H30" s="326"/>
      <c r="I30" s="213">
        <f>4689.3*12</f>
        <v>56271.600000000006</v>
      </c>
      <c r="J30" s="107"/>
    </row>
    <row r="31" spans="1:10" s="65" customFormat="1" ht="18" customHeight="1">
      <c r="A31" s="334"/>
      <c r="B31" s="163" t="s">
        <v>257</v>
      </c>
      <c r="C31" s="212">
        <f>Anexo!E30</f>
        <v>344.3</v>
      </c>
      <c r="D31" s="148">
        <f>Anexo!D30</f>
        <v>1.49</v>
      </c>
      <c r="E31" s="302">
        <f>ROUND(D31*C31,2)</f>
        <v>513.01</v>
      </c>
      <c r="F31" s="303"/>
      <c r="G31" s="325">
        <f>ROUND(E31*12,2)</f>
        <v>6156.12</v>
      </c>
      <c r="H31" s="326"/>
      <c r="I31" s="213">
        <f>392.5*12</f>
        <v>4710</v>
      </c>
      <c r="J31" s="107"/>
    </row>
    <row r="32" spans="1:10" s="65" customFormat="1" ht="17.25" customHeight="1">
      <c r="A32" s="289" t="s">
        <v>131</v>
      </c>
      <c r="B32" s="290"/>
      <c r="C32" s="290"/>
      <c r="D32" s="290"/>
      <c r="E32" s="290"/>
      <c r="F32" s="291"/>
      <c r="G32" s="292">
        <f>ROUND(SUM(E29:F31),2)</f>
        <v>27302.44</v>
      </c>
      <c r="H32" s="293"/>
      <c r="I32" s="142"/>
      <c r="J32" s="107"/>
    </row>
    <row r="33" spans="1:10" s="65" customFormat="1" ht="11.25" customHeight="1">
      <c r="A33" s="278" t="s">
        <v>385</v>
      </c>
      <c r="B33" s="279"/>
      <c r="C33" s="279"/>
      <c r="D33" s="279"/>
      <c r="E33" s="279"/>
      <c r="F33" s="279"/>
      <c r="G33" s="279"/>
      <c r="H33" s="280"/>
      <c r="J33" s="108"/>
    </row>
    <row r="34" spans="1:10" s="65" customFormat="1" ht="18.75" customHeight="1">
      <c r="A34" s="289" t="s">
        <v>199</v>
      </c>
      <c r="B34" s="290"/>
      <c r="C34" s="290"/>
      <c r="D34" s="290"/>
      <c r="E34" s="290"/>
      <c r="F34" s="291"/>
      <c r="G34" s="294">
        <f>ROUND(SUM(G29:H31),2)</f>
        <v>327629.28</v>
      </c>
      <c r="H34" s="295"/>
      <c r="I34" s="213">
        <f>SUM(I29:I33)</f>
        <v>213742.56</v>
      </c>
      <c r="J34" s="108"/>
    </row>
    <row r="35" spans="1:11" s="65" customFormat="1" ht="12.75">
      <c r="A35" s="278" t="s">
        <v>386</v>
      </c>
      <c r="B35" s="279"/>
      <c r="C35" s="279"/>
      <c r="D35" s="279"/>
      <c r="E35" s="279"/>
      <c r="F35" s="279"/>
      <c r="G35" s="279"/>
      <c r="H35" s="280"/>
      <c r="I35" s="108"/>
      <c r="J35" s="108"/>
      <c r="K35" s="263">
        <f>I34+I41</f>
        <v>246232.68</v>
      </c>
    </row>
    <row r="36" spans="1:11" s="65" customFormat="1" ht="12.75">
      <c r="A36" s="278"/>
      <c r="B36" s="279"/>
      <c r="C36" s="279"/>
      <c r="D36" s="279"/>
      <c r="E36" s="279"/>
      <c r="F36" s="279"/>
      <c r="G36" s="279"/>
      <c r="H36" s="280"/>
      <c r="I36" s="108"/>
      <c r="J36" s="108"/>
      <c r="K36" s="263">
        <f>I35+I42</f>
        <v>0</v>
      </c>
    </row>
    <row r="37" spans="1:9" s="65" customFormat="1" ht="18" customHeight="1">
      <c r="A37" s="146" t="s">
        <v>215</v>
      </c>
      <c r="B37" s="162" t="s">
        <v>122</v>
      </c>
      <c r="C37" s="149" t="s">
        <v>328</v>
      </c>
      <c r="D37" s="147" t="s">
        <v>191</v>
      </c>
      <c r="E37" s="299" t="s">
        <v>123</v>
      </c>
      <c r="F37" s="301"/>
      <c r="G37" s="299" t="s">
        <v>198</v>
      </c>
      <c r="H37" s="300"/>
      <c r="I37" s="108"/>
    </row>
    <row r="38" spans="1:10" s="65" customFormat="1" ht="18" customHeight="1">
      <c r="A38" s="259" t="s">
        <v>327</v>
      </c>
      <c r="B38" s="163" t="s">
        <v>329</v>
      </c>
      <c r="C38" s="212">
        <v>1</v>
      </c>
      <c r="D38" s="148">
        <f>'(2)'!E129</f>
        <v>4683.22</v>
      </c>
      <c r="E38" s="302">
        <f>ROUND(D38*C38,2)</f>
        <v>4683.22</v>
      </c>
      <c r="F38" s="303"/>
      <c r="G38" s="325">
        <f>ROUND(E38*12,2)</f>
        <v>56198.64</v>
      </c>
      <c r="H38" s="326"/>
      <c r="I38" s="213">
        <v>2707.51</v>
      </c>
      <c r="J38" s="107"/>
    </row>
    <row r="39" spans="1:10" s="65" customFormat="1" ht="17.25" customHeight="1">
      <c r="A39" s="289" t="s">
        <v>131</v>
      </c>
      <c r="B39" s="290"/>
      <c r="C39" s="290"/>
      <c r="D39" s="290"/>
      <c r="E39" s="290"/>
      <c r="F39" s="291"/>
      <c r="G39" s="292">
        <f>ROUND(SUM(E38:F38),2)</f>
        <v>4683.22</v>
      </c>
      <c r="H39" s="293"/>
      <c r="I39" s="142"/>
      <c r="J39" s="107"/>
    </row>
    <row r="40" spans="1:10" s="65" customFormat="1" ht="11.25" customHeight="1">
      <c r="A40" s="278" t="s">
        <v>387</v>
      </c>
      <c r="B40" s="279"/>
      <c r="C40" s="279"/>
      <c r="D40" s="279"/>
      <c r="E40" s="279"/>
      <c r="F40" s="279"/>
      <c r="G40" s="279"/>
      <c r="H40" s="280"/>
      <c r="J40" s="108"/>
    </row>
    <row r="41" spans="1:10" s="65" customFormat="1" ht="18.75" customHeight="1">
      <c r="A41" s="289" t="s">
        <v>199</v>
      </c>
      <c r="B41" s="290"/>
      <c r="C41" s="290"/>
      <c r="D41" s="290"/>
      <c r="E41" s="290"/>
      <c r="F41" s="291"/>
      <c r="G41" s="294">
        <f>ROUND(SUM(G38:H38),2)</f>
        <v>56198.64</v>
      </c>
      <c r="H41" s="295"/>
      <c r="I41" s="213">
        <v>32490.12</v>
      </c>
      <c r="J41" s="108"/>
    </row>
    <row r="42" spans="1:10" s="65" customFormat="1" ht="12.75">
      <c r="A42" s="278" t="s">
        <v>388</v>
      </c>
      <c r="B42" s="279"/>
      <c r="C42" s="279"/>
      <c r="D42" s="279"/>
      <c r="E42" s="279"/>
      <c r="F42" s="279"/>
      <c r="G42" s="279"/>
      <c r="H42" s="280"/>
      <c r="I42" s="108"/>
      <c r="J42" s="108"/>
    </row>
    <row r="43" spans="1:9" s="65" customFormat="1" ht="9" customHeight="1">
      <c r="A43" s="79"/>
      <c r="B43" s="80"/>
      <c r="C43" s="80"/>
      <c r="D43" s="80"/>
      <c r="E43" s="81"/>
      <c r="F43" s="80"/>
      <c r="G43" s="81"/>
      <c r="H43" s="82"/>
      <c r="I43" s="108"/>
    </row>
    <row r="44" spans="1:10" s="65" customFormat="1" ht="18.75" customHeight="1">
      <c r="A44" s="281" t="s">
        <v>332</v>
      </c>
      <c r="B44" s="282"/>
      <c r="C44" s="282"/>
      <c r="D44" s="282"/>
      <c r="E44" s="282"/>
      <c r="F44" s="283"/>
      <c r="G44" s="284">
        <f>ROUND(G34+G41,2)</f>
        <v>383827.92</v>
      </c>
      <c r="H44" s="285"/>
      <c r="I44" s="213"/>
      <c r="J44" s="108"/>
    </row>
    <row r="45" spans="1:10" s="269" customFormat="1" ht="11.25" customHeight="1">
      <c r="A45" s="286" t="s">
        <v>389</v>
      </c>
      <c r="B45" s="287"/>
      <c r="C45" s="287"/>
      <c r="D45" s="287"/>
      <c r="E45" s="287"/>
      <c r="F45" s="287"/>
      <c r="G45" s="287"/>
      <c r="H45" s="288"/>
      <c r="I45" s="267"/>
      <c r="J45" s="268"/>
    </row>
  </sheetData>
  <sheetProtection/>
  <mergeCells count="50">
    <mergeCell ref="A26:H26"/>
    <mergeCell ref="E30:F30"/>
    <mergeCell ref="G30:H30"/>
    <mergeCell ref="A15:H15"/>
    <mergeCell ref="A11:H11"/>
    <mergeCell ref="A19:H19"/>
    <mergeCell ref="A13:H13"/>
    <mergeCell ref="A29:A31"/>
    <mergeCell ref="E29:F29"/>
    <mergeCell ref="G29:H29"/>
    <mergeCell ref="E31:F31"/>
    <mergeCell ref="A18:H18"/>
    <mergeCell ref="G31:H31"/>
    <mergeCell ref="G38:H38"/>
    <mergeCell ref="G34:H34"/>
    <mergeCell ref="A35:H35"/>
    <mergeCell ref="G32:H32"/>
    <mergeCell ref="A33:H33"/>
    <mergeCell ref="A34:F34"/>
    <mergeCell ref="A22:H22"/>
    <mergeCell ref="A1:H2"/>
    <mergeCell ref="A3:H3"/>
    <mergeCell ref="A5:H5"/>
    <mergeCell ref="A6:H6"/>
    <mergeCell ref="A7:E7"/>
    <mergeCell ref="A14:H14"/>
    <mergeCell ref="A4:H4"/>
    <mergeCell ref="A12:H12"/>
    <mergeCell ref="G7:H7"/>
    <mergeCell ref="A8:H8"/>
    <mergeCell ref="A16:H16"/>
    <mergeCell ref="A24:H24"/>
    <mergeCell ref="G28:H28"/>
    <mergeCell ref="E28:F28"/>
    <mergeCell ref="A20:H20"/>
    <mergeCell ref="A42:H42"/>
    <mergeCell ref="E37:F37"/>
    <mergeCell ref="G37:H37"/>
    <mergeCell ref="E38:F38"/>
    <mergeCell ref="A32:F32"/>
    <mergeCell ref="A10:H10"/>
    <mergeCell ref="A36:H36"/>
    <mergeCell ref="A44:F44"/>
    <mergeCell ref="G44:H44"/>
    <mergeCell ref="A45:H45"/>
    <mergeCell ref="A39:F39"/>
    <mergeCell ref="G39:H39"/>
    <mergeCell ref="A40:H40"/>
    <mergeCell ref="A41:F41"/>
    <mergeCell ref="G41:H41"/>
  </mergeCells>
  <printOptions horizontalCentered="1"/>
  <pageMargins left="0.3937007874015748" right="0.3937007874015748" top="2.047244094488189" bottom="1.6535433070866143" header="0.3937007874015748" footer="0.3937007874015748"/>
  <pageSetup horizontalDpi="600" verticalDpi="600" orientation="portrait" paperSize="9" scale="95" r:id="rId1"/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L134"/>
  <sheetViews>
    <sheetView view="pageBreakPreview" zoomScale="90" zoomScaleSheetLayoutView="90" workbookViewId="0" topLeftCell="A99">
      <selection activeCell="D99" sqref="D99"/>
    </sheetView>
  </sheetViews>
  <sheetFormatPr defaultColWidth="9.140625" defaultRowHeight="15"/>
  <cols>
    <col min="1" max="1" width="3.140625" style="1" customWidth="1"/>
    <col min="2" max="2" width="4.00390625" style="1" customWidth="1"/>
    <col min="3" max="3" width="64.28125" style="1" customWidth="1"/>
    <col min="4" max="4" width="20.421875" style="1" customWidth="1"/>
    <col min="5" max="5" width="24.00390625" style="1" customWidth="1"/>
    <col min="6" max="6" width="12.28125" style="2" customWidth="1"/>
    <col min="7" max="7" width="30.28125" style="1" customWidth="1"/>
    <col min="8" max="8" width="15.8515625" style="1" bestFit="1" customWidth="1"/>
    <col min="9" max="9" width="15.140625" style="1" customWidth="1"/>
    <col min="10" max="10" width="0" style="1" hidden="1" customWidth="1"/>
    <col min="11" max="16384" width="9.140625" style="1" customWidth="1"/>
  </cols>
  <sheetData>
    <row r="1" ht="13.5" thickBot="1"/>
    <row r="2" spans="2:7" ht="13.5" thickBot="1">
      <c r="B2" s="366" t="s">
        <v>117</v>
      </c>
      <c r="C2" s="367"/>
      <c r="D2" s="367"/>
      <c r="E2" s="368"/>
      <c r="G2" s="64" t="s">
        <v>116</v>
      </c>
    </row>
    <row r="3" spans="2:9" ht="14.25" thickBot="1" thickTop="1">
      <c r="B3" s="369"/>
      <c r="C3" s="370"/>
      <c r="D3" s="370"/>
      <c r="E3" s="371"/>
      <c r="G3" s="40" t="s">
        <v>16</v>
      </c>
      <c r="H3" s="61">
        <v>0.01</v>
      </c>
      <c r="I3" s="143"/>
    </row>
    <row r="4" spans="2:9" ht="13.5" thickBot="1">
      <c r="B4" s="60"/>
      <c r="C4" s="63" t="s">
        <v>115</v>
      </c>
      <c r="D4" s="372"/>
      <c r="E4" s="373"/>
      <c r="G4" s="58" t="s">
        <v>114</v>
      </c>
      <c r="H4" s="57">
        <v>0.01</v>
      </c>
      <c r="I4" s="144"/>
    </row>
    <row r="5" spans="2:8" ht="14.25" thickBot="1" thickTop="1">
      <c r="B5" s="53"/>
      <c r="C5" s="62" t="s">
        <v>113</v>
      </c>
      <c r="D5" s="374"/>
      <c r="E5" s="375"/>
      <c r="G5" s="56"/>
      <c r="H5" s="56"/>
    </row>
    <row r="6" spans="2:8" ht="13.5" thickTop="1">
      <c r="B6" s="85"/>
      <c r="C6" s="86"/>
      <c r="D6" s="86"/>
      <c r="E6" s="87"/>
      <c r="G6" s="40" t="s">
        <v>112</v>
      </c>
      <c r="H6" s="61">
        <v>0.05</v>
      </c>
    </row>
    <row r="7" spans="2:8" ht="13.5" thickBot="1">
      <c r="B7" s="89" t="s">
        <v>111</v>
      </c>
      <c r="C7" s="90"/>
      <c r="D7" s="90"/>
      <c r="E7" s="91"/>
      <c r="G7" s="38" t="s">
        <v>110</v>
      </c>
      <c r="H7" s="50">
        <v>0.0165</v>
      </c>
    </row>
    <row r="8" spans="2:8" ht="13.5" thickBot="1">
      <c r="B8" s="156" t="s">
        <v>11</v>
      </c>
      <c r="C8" s="376" t="s">
        <v>109</v>
      </c>
      <c r="D8" s="376"/>
      <c r="E8" s="59"/>
      <c r="G8" s="58" t="s">
        <v>108</v>
      </c>
      <c r="H8" s="57">
        <v>0.076</v>
      </c>
    </row>
    <row r="9" spans="2:8" ht="14.25" thickBot="1" thickTop="1">
      <c r="B9" s="10" t="s">
        <v>9</v>
      </c>
      <c r="C9" s="350" t="s">
        <v>107</v>
      </c>
      <c r="D9" s="350"/>
      <c r="E9" s="55" t="s">
        <v>216</v>
      </c>
      <c r="G9" s="56"/>
      <c r="H9" s="56"/>
    </row>
    <row r="10" spans="2:10" ht="13.5" thickTop="1">
      <c r="B10" s="10" t="s">
        <v>7</v>
      </c>
      <c r="C10" s="350" t="s">
        <v>106</v>
      </c>
      <c r="D10" s="350"/>
      <c r="E10" s="55" t="s">
        <v>390</v>
      </c>
      <c r="G10" s="40" t="s">
        <v>105</v>
      </c>
      <c r="H10" s="54">
        <v>2</v>
      </c>
      <c r="J10" s="1" t="s">
        <v>232</v>
      </c>
    </row>
    <row r="11" spans="2:8" ht="13.5" thickBot="1">
      <c r="B11" s="42" t="s">
        <v>5</v>
      </c>
      <c r="C11" s="358" t="s">
        <v>104</v>
      </c>
      <c r="D11" s="358"/>
      <c r="E11" s="52">
        <v>12</v>
      </c>
      <c r="G11" s="38" t="s">
        <v>103</v>
      </c>
      <c r="H11" s="51">
        <v>4.95</v>
      </c>
    </row>
    <row r="12" spans="2:8" ht="12.75">
      <c r="B12" s="85"/>
      <c r="C12" s="86"/>
      <c r="D12" s="86"/>
      <c r="E12" s="87"/>
      <c r="G12" s="38" t="s">
        <v>102</v>
      </c>
      <c r="H12" s="50">
        <v>0.06</v>
      </c>
    </row>
    <row r="13" spans="2:9" ht="13.5" thickBot="1">
      <c r="B13" s="89" t="s">
        <v>101</v>
      </c>
      <c r="C13" s="90"/>
      <c r="D13" s="90"/>
      <c r="E13" s="91"/>
      <c r="G13" s="38" t="s">
        <v>100</v>
      </c>
      <c r="H13" s="49">
        <v>26</v>
      </c>
      <c r="I13" s="1" t="s">
        <v>228</v>
      </c>
    </row>
    <row r="14" spans="2:8" ht="26.25" thickBot="1">
      <c r="B14" s="361" t="s">
        <v>99</v>
      </c>
      <c r="C14" s="362"/>
      <c r="D14" s="27" t="s">
        <v>98</v>
      </c>
      <c r="E14" s="11" t="s">
        <v>97</v>
      </c>
      <c r="G14" s="45" t="s">
        <v>92</v>
      </c>
      <c r="H14" s="44">
        <f>ROUND((H10*H11*H13)-(H12*E29),2)</f>
        <v>179.05</v>
      </c>
    </row>
    <row r="15" spans="2:5" ht="37.5" customHeight="1" thickBot="1" thickTop="1">
      <c r="B15" s="168"/>
      <c r="C15" s="169" t="s">
        <v>227</v>
      </c>
      <c r="D15" s="145" t="s">
        <v>224</v>
      </c>
      <c r="E15" s="88">
        <v>4</v>
      </c>
    </row>
    <row r="16" spans="2:8" ht="13.5" thickTop="1">
      <c r="B16" s="85"/>
      <c r="C16" s="86"/>
      <c r="D16" s="86"/>
      <c r="E16" s="87"/>
      <c r="G16" s="40" t="s">
        <v>96</v>
      </c>
      <c r="H16" s="39">
        <v>18.53</v>
      </c>
    </row>
    <row r="17" spans="2:9" ht="12.75">
      <c r="B17" s="85"/>
      <c r="C17" s="86"/>
      <c r="D17" s="86"/>
      <c r="E17" s="87"/>
      <c r="G17" s="38" t="s">
        <v>95</v>
      </c>
      <c r="H17" s="49">
        <v>26</v>
      </c>
      <c r="I17" s="1" t="s">
        <v>228</v>
      </c>
    </row>
    <row r="18" spans="2:8" ht="12.75">
      <c r="B18" s="347" t="s">
        <v>91</v>
      </c>
      <c r="C18" s="348"/>
      <c r="D18" s="348"/>
      <c r="E18" s="349"/>
      <c r="G18" s="48" t="s">
        <v>94</v>
      </c>
      <c r="H18" s="47">
        <f>ROUND((H16*H17),2)</f>
        <v>481.78</v>
      </c>
    </row>
    <row r="19" spans="2:8" ht="12.75">
      <c r="B19" s="85"/>
      <c r="C19" s="86"/>
      <c r="D19" s="86"/>
      <c r="E19" s="87"/>
      <c r="G19" s="38" t="s">
        <v>93</v>
      </c>
      <c r="H19" s="46">
        <f>H18*20%</f>
        <v>96.356</v>
      </c>
    </row>
    <row r="20" spans="2:8" ht="13.5" thickBot="1">
      <c r="B20" s="89" t="s">
        <v>90</v>
      </c>
      <c r="C20" s="90"/>
      <c r="D20" s="90"/>
      <c r="E20" s="91"/>
      <c r="G20" s="45" t="s">
        <v>92</v>
      </c>
      <c r="H20" s="44">
        <f>H18-H19</f>
        <v>385.424</v>
      </c>
    </row>
    <row r="21" spans="2:5" ht="14.25" thickBot="1" thickTop="1">
      <c r="B21" s="363" t="s">
        <v>89</v>
      </c>
      <c r="C21" s="364"/>
      <c r="D21" s="364"/>
      <c r="E21" s="365"/>
    </row>
    <row r="22" spans="2:8" ht="13.5" thickTop="1">
      <c r="B22" s="10">
        <v>1</v>
      </c>
      <c r="C22" s="350" t="s">
        <v>88</v>
      </c>
      <c r="D22" s="350"/>
      <c r="E22" s="43" t="s">
        <v>87</v>
      </c>
      <c r="G22" s="105" t="s">
        <v>67</v>
      </c>
      <c r="H22" s="151"/>
    </row>
    <row r="23" spans="2:8" ht="12.75">
      <c r="B23" s="10">
        <v>2</v>
      </c>
      <c r="C23" s="350" t="s">
        <v>86</v>
      </c>
      <c r="D23" s="350"/>
      <c r="E23" s="273">
        <v>1305.91</v>
      </c>
      <c r="G23" s="139" t="s">
        <v>200</v>
      </c>
      <c r="H23" s="152">
        <v>0</v>
      </c>
    </row>
    <row r="24" spans="2:12" ht="13.5" thickBot="1">
      <c r="B24" s="10">
        <v>3</v>
      </c>
      <c r="C24" s="350" t="s">
        <v>85</v>
      </c>
      <c r="D24" s="350"/>
      <c r="E24" s="43" t="str">
        <f>C15</f>
        <v>Servente de Limpeza</v>
      </c>
      <c r="G24" s="106" t="s">
        <v>201</v>
      </c>
      <c r="H24" s="153">
        <v>0</v>
      </c>
      <c r="L24" s="1" t="s">
        <v>190</v>
      </c>
    </row>
    <row r="25" spans="2:5" ht="14.25" thickBot="1" thickTop="1">
      <c r="B25" s="42">
        <v>4</v>
      </c>
      <c r="C25" s="358" t="s">
        <v>84</v>
      </c>
      <c r="D25" s="358"/>
      <c r="E25" s="41">
        <v>44927</v>
      </c>
    </row>
    <row r="26" spans="2:8" ht="13.5" thickTop="1">
      <c r="B26" s="85"/>
      <c r="C26" s="86"/>
      <c r="D26" s="86"/>
      <c r="E26" s="87"/>
      <c r="G26" s="157" t="s">
        <v>80</v>
      </c>
      <c r="H26" s="158">
        <v>0</v>
      </c>
    </row>
    <row r="27" spans="2:8" ht="13.5" thickBot="1">
      <c r="B27" s="89" t="s">
        <v>83</v>
      </c>
      <c r="C27" s="90"/>
      <c r="D27" s="90"/>
      <c r="E27" s="91"/>
      <c r="G27" s="159" t="s">
        <v>217</v>
      </c>
      <c r="H27" s="160">
        <v>0</v>
      </c>
    </row>
    <row r="28" spans="2:8" ht="12.75">
      <c r="B28" s="12">
        <v>1</v>
      </c>
      <c r="C28" s="359" t="s">
        <v>82</v>
      </c>
      <c r="D28" s="360"/>
      <c r="E28" s="11" t="s">
        <v>19</v>
      </c>
      <c r="G28" s="159" t="s">
        <v>218</v>
      </c>
      <c r="H28" s="160">
        <v>0</v>
      </c>
    </row>
    <row r="29" spans="2:8" ht="12.75">
      <c r="B29" s="10" t="s">
        <v>11</v>
      </c>
      <c r="C29" s="354" t="s">
        <v>81</v>
      </c>
      <c r="D29" s="355"/>
      <c r="E29" s="9">
        <f>E23</f>
        <v>1305.91</v>
      </c>
      <c r="G29" s="159" t="s">
        <v>219</v>
      </c>
      <c r="H29" s="160">
        <v>49</v>
      </c>
    </row>
    <row r="30" spans="2:8" ht="13.5" thickBot="1">
      <c r="B30" s="10" t="s">
        <v>9</v>
      </c>
      <c r="C30" s="354" t="s">
        <v>222</v>
      </c>
      <c r="D30" s="355"/>
      <c r="E30" s="274">
        <v>50.31</v>
      </c>
      <c r="G30" s="58" t="s">
        <v>221</v>
      </c>
      <c r="H30" s="167">
        <v>130.8</v>
      </c>
    </row>
    <row r="31" spans="2:8" ht="13.5" thickTop="1">
      <c r="B31" s="10" t="s">
        <v>7</v>
      </c>
      <c r="C31" s="354" t="s">
        <v>79</v>
      </c>
      <c r="D31" s="355"/>
      <c r="E31" s="9">
        <v>121.2</v>
      </c>
      <c r="G31" s="164"/>
      <c r="H31" s="165"/>
    </row>
    <row r="32" spans="2:8" ht="12.75">
      <c r="B32" s="10" t="s">
        <v>5</v>
      </c>
      <c r="C32" s="354" t="s">
        <v>78</v>
      </c>
      <c r="D32" s="355"/>
      <c r="E32" s="9">
        <v>0</v>
      </c>
      <c r="G32" s="164"/>
      <c r="H32" s="165"/>
    </row>
    <row r="33" spans="2:8" ht="12.75">
      <c r="B33" s="10" t="s">
        <v>2</v>
      </c>
      <c r="C33" s="354" t="s">
        <v>77</v>
      </c>
      <c r="D33" s="355"/>
      <c r="E33" s="9">
        <v>0</v>
      </c>
      <c r="G33" s="164"/>
      <c r="H33" s="165"/>
    </row>
    <row r="34" spans="2:8" ht="12.75">
      <c r="B34" s="10" t="s">
        <v>45</v>
      </c>
      <c r="C34" s="354" t="s">
        <v>76</v>
      </c>
      <c r="D34" s="355"/>
      <c r="E34" s="9">
        <v>0</v>
      </c>
      <c r="G34" s="164"/>
      <c r="H34" s="165"/>
    </row>
    <row r="35" spans="2:8" ht="12.75">
      <c r="B35" s="10" t="s">
        <v>36</v>
      </c>
      <c r="C35" s="354" t="s">
        <v>75</v>
      </c>
      <c r="D35" s="355"/>
      <c r="E35" s="9">
        <v>0</v>
      </c>
      <c r="G35" s="166"/>
      <c r="H35" s="166"/>
    </row>
    <row r="36" spans="2:5" ht="13.5" thickBot="1">
      <c r="B36" s="7" t="s">
        <v>57</v>
      </c>
      <c r="C36" s="356" t="s">
        <v>133</v>
      </c>
      <c r="D36" s="357"/>
      <c r="E36" s="6">
        <f>ROUND(E35*0.2,2)</f>
        <v>0</v>
      </c>
    </row>
    <row r="37" spans="2:5" ht="13.5" thickBot="1">
      <c r="B37" s="102"/>
      <c r="C37" s="351" t="s">
        <v>74</v>
      </c>
      <c r="D37" s="346"/>
      <c r="E37" s="103">
        <f>ROUND(SUM(E29:E36),2)</f>
        <v>1477.42</v>
      </c>
    </row>
    <row r="38" spans="2:5" ht="12.75">
      <c r="B38" s="85"/>
      <c r="C38" s="86"/>
      <c r="D38" s="86"/>
      <c r="E38" s="87"/>
    </row>
    <row r="39" spans="2:5" ht="13.5" thickBot="1">
      <c r="B39" s="89" t="s">
        <v>73</v>
      </c>
      <c r="C39" s="90"/>
      <c r="D39" s="90"/>
      <c r="E39" s="91"/>
    </row>
    <row r="40" spans="2:5" ht="12.75">
      <c r="B40" s="12">
        <v>2</v>
      </c>
      <c r="C40" s="340" t="s">
        <v>72</v>
      </c>
      <c r="D40" s="340"/>
      <c r="E40" s="11" t="s">
        <v>19</v>
      </c>
    </row>
    <row r="41" spans="2:5" ht="12.75">
      <c r="B41" s="10" t="s">
        <v>11</v>
      </c>
      <c r="C41" s="350" t="s">
        <v>132</v>
      </c>
      <c r="D41" s="350"/>
      <c r="E41" s="17">
        <f>IF(H14=0,0,IF(ROUNDUP((H10*H11*H13)-(E29*6%),2)&lt;0,0,ROUNDUP((H10*H11*H13)-(E29*6%),2)))</f>
        <v>179.04999999999998</v>
      </c>
    </row>
    <row r="42" spans="2:5" ht="12.75">
      <c r="B42" s="10" t="s">
        <v>9</v>
      </c>
      <c r="C42" s="350" t="s">
        <v>71</v>
      </c>
      <c r="D42" s="350"/>
      <c r="E42" s="17">
        <v>385.42</v>
      </c>
    </row>
    <row r="43" spans="2:5" ht="12.75">
      <c r="B43" s="10" t="s">
        <v>7</v>
      </c>
      <c r="C43" s="350" t="s">
        <v>221</v>
      </c>
      <c r="D43" s="350"/>
      <c r="E43" s="17">
        <v>130.8</v>
      </c>
    </row>
    <row r="44" spans="2:5" ht="26.25" customHeight="1" thickBot="1">
      <c r="B44" s="10" t="s">
        <v>5</v>
      </c>
      <c r="C44" s="352" t="s">
        <v>220</v>
      </c>
      <c r="D44" s="353"/>
      <c r="E44" s="17">
        <v>49</v>
      </c>
    </row>
    <row r="45" spans="2:5" ht="13.5" thickBot="1">
      <c r="B45" s="102"/>
      <c r="C45" s="351" t="s">
        <v>70</v>
      </c>
      <c r="D45" s="346"/>
      <c r="E45" s="100">
        <f>ROUND(SUM(E41:E44),2)</f>
        <v>744.27</v>
      </c>
    </row>
    <row r="46" spans="2:5" ht="12.75">
      <c r="B46" s="85"/>
      <c r="C46" s="86"/>
      <c r="D46" s="86"/>
      <c r="E46" s="87"/>
    </row>
    <row r="47" spans="2:5" ht="13.5" thickBot="1">
      <c r="B47" s="89" t="s">
        <v>69</v>
      </c>
      <c r="C47" s="90"/>
      <c r="D47" s="90"/>
      <c r="E47" s="91"/>
    </row>
    <row r="48" spans="2:5" ht="12.75">
      <c r="B48" s="12">
        <v>3</v>
      </c>
      <c r="C48" s="340" t="s">
        <v>68</v>
      </c>
      <c r="D48" s="340"/>
      <c r="E48" s="11" t="s">
        <v>19</v>
      </c>
    </row>
    <row r="49" spans="2:5" ht="12.75">
      <c r="B49" s="10" t="s">
        <v>11</v>
      </c>
      <c r="C49" s="350" t="s">
        <v>67</v>
      </c>
      <c r="D49" s="350"/>
      <c r="E49" s="17">
        <f>Uniforme_EPI!F12</f>
        <v>46.120000000000005</v>
      </c>
    </row>
    <row r="50" spans="2:5" ht="12.75">
      <c r="B50" s="10" t="s">
        <v>9</v>
      </c>
      <c r="C50" s="350" t="s">
        <v>172</v>
      </c>
      <c r="D50" s="350"/>
      <c r="E50" s="17">
        <f>Materiais!H41</f>
        <v>933.466</v>
      </c>
    </row>
    <row r="51" spans="2:5" ht="13.5" thickBot="1">
      <c r="B51" s="10" t="s">
        <v>7</v>
      </c>
      <c r="C51" s="350" t="s">
        <v>201</v>
      </c>
      <c r="D51" s="350"/>
      <c r="E51" s="17">
        <f>Equipamentos!F18</f>
        <v>156.684</v>
      </c>
    </row>
    <row r="52" spans="2:5" ht="13.5" thickBot="1">
      <c r="B52" s="102"/>
      <c r="C52" s="351" t="s">
        <v>66</v>
      </c>
      <c r="D52" s="346"/>
      <c r="E52" s="100">
        <f>ROUND(SUM(E49:E51),2)</f>
        <v>1136.27</v>
      </c>
    </row>
    <row r="53" spans="2:5" ht="12.75">
      <c r="B53" s="85"/>
      <c r="C53" s="86"/>
      <c r="D53" s="86"/>
      <c r="E53" s="87"/>
    </row>
    <row r="54" spans="2:5" ht="12.75">
      <c r="B54" s="89" t="s">
        <v>65</v>
      </c>
      <c r="C54" s="90"/>
      <c r="D54" s="90"/>
      <c r="E54" s="91"/>
    </row>
    <row r="55" spans="2:5" ht="12.75">
      <c r="B55" s="85"/>
      <c r="C55" s="86"/>
      <c r="D55" s="86"/>
      <c r="E55" s="87"/>
    </row>
    <row r="56" spans="2:5" ht="13.5" thickBot="1">
      <c r="B56" s="89" t="s">
        <v>64</v>
      </c>
      <c r="C56" s="90"/>
      <c r="D56" s="90"/>
      <c r="E56" s="91"/>
    </row>
    <row r="57" spans="2:5" ht="12.75">
      <c r="B57" s="12" t="s">
        <v>32</v>
      </c>
      <c r="C57" s="28" t="s">
        <v>31</v>
      </c>
      <c r="D57" s="27" t="s">
        <v>20</v>
      </c>
      <c r="E57" s="11" t="s">
        <v>19</v>
      </c>
    </row>
    <row r="58" spans="2:5" ht="12.75">
      <c r="B58" s="10" t="s">
        <v>11</v>
      </c>
      <c r="C58" s="19" t="s">
        <v>63</v>
      </c>
      <c r="D58" s="18">
        <f>'Encargos Sociais'!C5</f>
        <v>0.2</v>
      </c>
      <c r="E58" s="17">
        <f aca="true" t="shared" si="0" ref="E58:E65">ROUND((D58*$E$37),2)</f>
        <v>295.48</v>
      </c>
    </row>
    <row r="59" spans="2:5" ht="12.75">
      <c r="B59" s="10" t="s">
        <v>9</v>
      </c>
      <c r="C59" s="19" t="s">
        <v>62</v>
      </c>
      <c r="D59" s="18">
        <f>'Encargos Sociais'!C6</f>
        <v>0.015</v>
      </c>
      <c r="E59" s="17">
        <f t="shared" si="0"/>
        <v>22.16</v>
      </c>
    </row>
    <row r="60" spans="2:5" ht="12.75">
      <c r="B60" s="10" t="s">
        <v>7</v>
      </c>
      <c r="C60" s="19" t="s">
        <v>61</v>
      </c>
      <c r="D60" s="18">
        <f>'Encargos Sociais'!C7</f>
        <v>0.01</v>
      </c>
      <c r="E60" s="17">
        <f t="shared" si="0"/>
        <v>14.77</v>
      </c>
    </row>
    <row r="61" spans="2:5" ht="12.75">
      <c r="B61" s="10" t="s">
        <v>5</v>
      </c>
      <c r="C61" s="19" t="s">
        <v>60</v>
      </c>
      <c r="D61" s="18">
        <f>'Encargos Sociais'!C8</f>
        <v>0.002</v>
      </c>
      <c r="E61" s="17">
        <f t="shared" si="0"/>
        <v>2.95</v>
      </c>
    </row>
    <row r="62" spans="2:5" ht="12.75">
      <c r="B62" s="10" t="s">
        <v>2</v>
      </c>
      <c r="C62" s="19" t="s">
        <v>59</v>
      </c>
      <c r="D62" s="18">
        <v>0.025</v>
      </c>
      <c r="E62" s="17">
        <f t="shared" si="0"/>
        <v>36.94</v>
      </c>
    </row>
    <row r="63" spans="2:5" ht="12.75">
      <c r="B63" s="10" t="s">
        <v>45</v>
      </c>
      <c r="C63" s="19" t="s">
        <v>58</v>
      </c>
      <c r="D63" s="18">
        <f>'Encargos Sociais'!C10</f>
        <v>0.08</v>
      </c>
      <c r="E63" s="17">
        <f t="shared" si="0"/>
        <v>118.19</v>
      </c>
    </row>
    <row r="64" spans="2:5" ht="12.75">
      <c r="B64" s="10" t="s">
        <v>36</v>
      </c>
      <c r="C64" s="19" t="s">
        <v>229</v>
      </c>
      <c r="D64" s="18">
        <f>'Encargos Sociais'!C11</f>
        <v>0.03</v>
      </c>
      <c r="E64" s="17">
        <f t="shared" si="0"/>
        <v>44.32</v>
      </c>
    </row>
    <row r="65" spans="2:5" ht="13.5" thickBot="1">
      <c r="B65" s="7" t="s">
        <v>57</v>
      </c>
      <c r="C65" s="37" t="s">
        <v>56</v>
      </c>
      <c r="D65" s="18">
        <f>'Encargos Sociais'!C12</f>
        <v>0.006</v>
      </c>
      <c r="E65" s="17">
        <f t="shared" si="0"/>
        <v>8.86</v>
      </c>
    </row>
    <row r="66" spans="2:7" ht="12.75" customHeight="1" thickBot="1">
      <c r="B66" s="345" t="s">
        <v>15</v>
      </c>
      <c r="C66" s="346"/>
      <c r="D66" s="101">
        <f>SUM(D58:D65)</f>
        <v>0.3680000000000001</v>
      </c>
      <c r="E66" s="100">
        <f>SUM(E58:E65)</f>
        <v>543.6700000000001</v>
      </c>
      <c r="F66" s="31"/>
      <c r="G66" s="32"/>
    </row>
    <row r="67" spans="2:7" ht="12.75">
      <c r="B67" s="85"/>
      <c r="C67" s="86"/>
      <c r="D67" s="86"/>
      <c r="E67" s="87"/>
      <c r="F67" s="33"/>
      <c r="G67" s="32"/>
    </row>
    <row r="68" spans="2:7" ht="13.5" thickBot="1">
      <c r="B68" s="89" t="s">
        <v>127</v>
      </c>
      <c r="C68" s="90"/>
      <c r="D68" s="90"/>
      <c r="E68" s="91"/>
      <c r="F68" s="33"/>
      <c r="G68" s="32"/>
    </row>
    <row r="69" spans="2:7" ht="12.75">
      <c r="B69" s="12" t="s">
        <v>30</v>
      </c>
      <c r="C69" s="98" t="s">
        <v>129</v>
      </c>
      <c r="D69" s="27" t="s">
        <v>20</v>
      </c>
      <c r="E69" s="11" t="s">
        <v>19</v>
      </c>
      <c r="F69" s="33"/>
      <c r="G69" s="32"/>
    </row>
    <row r="70" spans="2:7" ht="12.75">
      <c r="B70" s="10" t="s">
        <v>11</v>
      </c>
      <c r="C70" s="93" t="s">
        <v>55</v>
      </c>
      <c r="D70" s="94">
        <f>'Encargos Sociais'!C16</f>
        <v>0.0909</v>
      </c>
      <c r="E70" s="17">
        <f>ROUND((D70*$E$37),2)</f>
        <v>134.3</v>
      </c>
      <c r="G70" s="32"/>
    </row>
    <row r="71" spans="2:7" ht="12.75" customHeight="1">
      <c r="B71" s="342" t="s">
        <v>37</v>
      </c>
      <c r="C71" s="344"/>
      <c r="D71" s="95">
        <f>D70</f>
        <v>0.0909</v>
      </c>
      <c r="E71" s="22">
        <f>SUM(E70:E70)</f>
        <v>134.3</v>
      </c>
      <c r="G71" s="32"/>
    </row>
    <row r="72" spans="2:7" ht="13.5" thickBot="1">
      <c r="B72" s="7" t="s">
        <v>9</v>
      </c>
      <c r="C72" s="96" t="s">
        <v>128</v>
      </c>
      <c r="D72" s="97">
        <f>D71*D66</f>
        <v>0.03345120000000001</v>
      </c>
      <c r="E72" s="35">
        <f>ROUND((D72*E37),2)</f>
        <v>49.42</v>
      </c>
      <c r="G72" s="32"/>
    </row>
    <row r="73" spans="2:7" ht="13.5" customHeight="1" thickBot="1">
      <c r="B73" s="345" t="s">
        <v>15</v>
      </c>
      <c r="C73" s="346"/>
      <c r="D73" s="99">
        <f>SUM(D71+D72)</f>
        <v>0.1243512</v>
      </c>
      <c r="E73" s="100">
        <f>E71+E72</f>
        <v>183.72000000000003</v>
      </c>
      <c r="G73" s="32"/>
    </row>
    <row r="74" spans="2:7" ht="12.75">
      <c r="B74" s="85"/>
      <c r="C74" s="86"/>
      <c r="D74" s="86"/>
      <c r="E74" s="87"/>
      <c r="F74" s="33"/>
      <c r="G74" s="32"/>
    </row>
    <row r="75" spans="2:7" ht="13.5" thickBot="1">
      <c r="B75" s="89" t="s">
        <v>54</v>
      </c>
      <c r="C75" s="90"/>
      <c r="D75" s="90"/>
      <c r="E75" s="91"/>
      <c r="F75" s="33"/>
      <c r="G75" s="32"/>
    </row>
    <row r="76" spans="2:7" ht="12.75">
      <c r="B76" s="12" t="s">
        <v>28</v>
      </c>
      <c r="C76" s="98" t="s">
        <v>53</v>
      </c>
      <c r="D76" s="27" t="s">
        <v>20</v>
      </c>
      <c r="E76" s="11" t="s">
        <v>19</v>
      </c>
      <c r="F76" s="33"/>
      <c r="G76" s="32"/>
    </row>
    <row r="77" spans="2:7" ht="12.75">
      <c r="B77" s="10" t="s">
        <v>11</v>
      </c>
      <c r="C77" s="93" t="s">
        <v>27</v>
      </c>
      <c r="D77" s="94">
        <f>'Encargos Sociais'!C27</f>
        <v>0.0063</v>
      </c>
      <c r="E77" s="17">
        <f>ROUND((D77*$E$37),2)</f>
        <v>9.31</v>
      </c>
      <c r="G77" s="32"/>
    </row>
    <row r="78" spans="2:7" ht="13.5" thickBot="1">
      <c r="B78" s="7" t="s">
        <v>9</v>
      </c>
      <c r="C78" s="96" t="s">
        <v>52</v>
      </c>
      <c r="D78" s="97">
        <f>D77*D66</f>
        <v>0.002318400000000001</v>
      </c>
      <c r="E78" s="35">
        <f>ROUND((D78*$E$37),2)</f>
        <v>3.43</v>
      </c>
      <c r="G78" s="32"/>
    </row>
    <row r="79" spans="2:7" ht="13.5" customHeight="1" thickBot="1">
      <c r="B79" s="345" t="s">
        <v>15</v>
      </c>
      <c r="C79" s="346"/>
      <c r="D79" s="99">
        <f>SUM(D77:D78)</f>
        <v>0.008618400000000002</v>
      </c>
      <c r="E79" s="100">
        <f>SUM(E77:E78)</f>
        <v>12.74</v>
      </c>
      <c r="G79" s="32"/>
    </row>
    <row r="80" spans="2:7" ht="12.75">
      <c r="B80" s="85"/>
      <c r="C80" s="86"/>
      <c r="D80" s="86"/>
      <c r="E80" s="87"/>
      <c r="F80" s="33"/>
      <c r="G80" s="32"/>
    </row>
    <row r="81" spans="2:7" ht="13.5" thickBot="1">
      <c r="B81" s="89" t="s">
        <v>51</v>
      </c>
      <c r="C81" s="90"/>
      <c r="D81" s="90"/>
      <c r="E81" s="91"/>
      <c r="F81" s="33"/>
      <c r="G81" s="32"/>
    </row>
    <row r="82" spans="2:7" ht="12.75">
      <c r="B82" s="12" t="s">
        <v>26</v>
      </c>
      <c r="C82" s="98" t="s">
        <v>50</v>
      </c>
      <c r="D82" s="27" t="s">
        <v>20</v>
      </c>
      <c r="E82" s="11" t="s">
        <v>19</v>
      </c>
      <c r="F82" s="33"/>
      <c r="G82" s="32"/>
    </row>
    <row r="83" spans="2:7" ht="12.75">
      <c r="B83" s="10" t="s">
        <v>11</v>
      </c>
      <c r="C83" s="93" t="s">
        <v>49</v>
      </c>
      <c r="D83" s="94">
        <f>'Encargos Sociais'!C42</f>
        <v>0.025</v>
      </c>
      <c r="E83" s="17">
        <f aca="true" t="shared" si="1" ref="E83:E88">ROUND((D83*$E$37),2)</f>
        <v>36.94</v>
      </c>
      <c r="G83" s="32"/>
    </row>
    <row r="84" spans="2:7" ht="12.75">
      <c r="B84" s="10" t="s">
        <v>9</v>
      </c>
      <c r="C84" s="93" t="s">
        <v>125</v>
      </c>
      <c r="D84" s="94">
        <f>D83*D63</f>
        <v>0.002</v>
      </c>
      <c r="E84" s="17">
        <f t="shared" si="1"/>
        <v>2.95</v>
      </c>
      <c r="G84" s="32"/>
    </row>
    <row r="85" spans="2:7" ht="12.75">
      <c r="B85" s="10" t="s">
        <v>7</v>
      </c>
      <c r="C85" s="93" t="s">
        <v>48</v>
      </c>
      <c r="D85" s="94">
        <f>'Encargos Sociais'!C55</f>
        <v>0.0436</v>
      </c>
      <c r="E85" s="17">
        <f t="shared" si="1"/>
        <v>64.42</v>
      </c>
      <c r="G85" s="34"/>
    </row>
    <row r="86" spans="2:7" ht="12.75">
      <c r="B86" s="10" t="s">
        <v>5</v>
      </c>
      <c r="C86" s="93" t="s">
        <v>47</v>
      </c>
      <c r="D86" s="94">
        <f>'Encargos Sociais'!C61</f>
        <v>0.0004</v>
      </c>
      <c r="E86" s="17">
        <f t="shared" si="1"/>
        <v>0.59</v>
      </c>
      <c r="G86" s="32"/>
    </row>
    <row r="87" spans="2:7" ht="12.75">
      <c r="B87" s="10" t="s">
        <v>2</v>
      </c>
      <c r="C87" s="93" t="s">
        <v>46</v>
      </c>
      <c r="D87" s="94">
        <f>D86*D66</f>
        <v>0.00014720000000000005</v>
      </c>
      <c r="E87" s="17">
        <f t="shared" si="1"/>
        <v>0.22</v>
      </c>
      <c r="G87" s="32"/>
    </row>
    <row r="88" spans="2:7" ht="13.5" thickBot="1">
      <c r="B88" s="7" t="s">
        <v>45</v>
      </c>
      <c r="C88" s="96" t="s">
        <v>44</v>
      </c>
      <c r="D88" s="97">
        <f>'Encargos Sociais'!C73</f>
        <v>0.0064</v>
      </c>
      <c r="E88" s="35">
        <f t="shared" si="1"/>
        <v>9.46</v>
      </c>
      <c r="G88" s="32"/>
    </row>
    <row r="89" spans="2:7" ht="13.5" customHeight="1" thickBot="1">
      <c r="B89" s="345" t="s">
        <v>15</v>
      </c>
      <c r="C89" s="346"/>
      <c r="D89" s="99">
        <f>SUM(D83:D88)</f>
        <v>0.0775472</v>
      </c>
      <c r="E89" s="100">
        <f>SUM(E83:E88)</f>
        <v>114.58000000000001</v>
      </c>
      <c r="G89" s="32"/>
    </row>
    <row r="90" spans="2:7" ht="12.75">
      <c r="B90" s="85"/>
      <c r="C90" s="86"/>
      <c r="D90" s="86"/>
      <c r="E90" s="87"/>
      <c r="F90" s="33"/>
      <c r="G90" s="32"/>
    </row>
    <row r="91" spans="2:7" ht="13.5" thickBot="1">
      <c r="B91" s="89" t="s">
        <v>43</v>
      </c>
      <c r="C91" s="90"/>
      <c r="D91" s="90"/>
      <c r="E91" s="91"/>
      <c r="F91" s="33"/>
      <c r="G91" s="32"/>
    </row>
    <row r="92" spans="2:7" ht="12.75">
      <c r="B92" s="12" t="s">
        <v>24</v>
      </c>
      <c r="C92" s="98" t="s">
        <v>42</v>
      </c>
      <c r="D92" s="27" t="s">
        <v>20</v>
      </c>
      <c r="E92" s="11" t="s">
        <v>19</v>
      </c>
      <c r="F92" s="33"/>
      <c r="G92" s="32"/>
    </row>
    <row r="93" spans="2:7" ht="12.75">
      <c r="B93" s="10" t="s">
        <v>11</v>
      </c>
      <c r="C93" s="93" t="s">
        <v>130</v>
      </c>
      <c r="D93" s="94">
        <f>'Encargos Sociais'!C82</f>
        <v>0.1212</v>
      </c>
      <c r="E93" s="17">
        <f aca="true" t="shared" si="2" ref="E93:E99">ROUND((D93*$E$37),2)</f>
        <v>179.06</v>
      </c>
      <c r="G93" s="32"/>
    </row>
    <row r="94" spans="2:7" ht="12.75">
      <c r="B94" s="10" t="s">
        <v>9</v>
      </c>
      <c r="C94" s="93" t="s">
        <v>41</v>
      </c>
      <c r="D94" s="94">
        <f>'Encargos Sociais'!C88</f>
        <v>0.0333</v>
      </c>
      <c r="E94" s="17">
        <f t="shared" si="2"/>
        <v>49.2</v>
      </c>
      <c r="G94" s="32"/>
    </row>
    <row r="95" spans="2:7" ht="12.75">
      <c r="B95" s="10" t="s">
        <v>7</v>
      </c>
      <c r="C95" s="93" t="s">
        <v>40</v>
      </c>
      <c r="D95" s="94">
        <f>'Encargos Sociais'!C96</f>
        <v>0.0013</v>
      </c>
      <c r="E95" s="17">
        <f t="shared" si="2"/>
        <v>1.92</v>
      </c>
      <c r="G95" s="32"/>
    </row>
    <row r="96" spans="2:7" ht="12.75">
      <c r="B96" s="10" t="s">
        <v>5</v>
      </c>
      <c r="C96" s="93" t="s">
        <v>39</v>
      </c>
      <c r="D96" s="94">
        <f>'Encargos Sociais'!C109</f>
        <v>0.0222</v>
      </c>
      <c r="E96" s="17">
        <f t="shared" si="2"/>
        <v>32.8</v>
      </c>
      <c r="G96" s="32"/>
    </row>
    <row r="97" spans="2:7" ht="12.75">
      <c r="B97" s="10" t="s">
        <v>2</v>
      </c>
      <c r="C97" s="93" t="s">
        <v>38</v>
      </c>
      <c r="D97" s="94">
        <f>'Encargos Sociais'!C118</f>
        <v>0.0083</v>
      </c>
      <c r="E97" s="17">
        <f t="shared" si="2"/>
        <v>12.26</v>
      </c>
      <c r="G97" s="32"/>
    </row>
    <row r="98" spans="2:8" ht="12.75" customHeight="1">
      <c r="B98" s="342" t="s">
        <v>37</v>
      </c>
      <c r="C98" s="344"/>
      <c r="D98" s="95">
        <f>SUM(D93:D97)</f>
        <v>0.1863</v>
      </c>
      <c r="E98" s="17">
        <f t="shared" si="2"/>
        <v>275.24</v>
      </c>
      <c r="G98" s="32"/>
      <c r="H98" s="3"/>
    </row>
    <row r="99" spans="2:8" ht="13.5" thickBot="1">
      <c r="B99" s="7" t="s">
        <v>36</v>
      </c>
      <c r="C99" s="96" t="s">
        <v>35</v>
      </c>
      <c r="D99" s="97">
        <f>D98*D66</f>
        <v>0.06855840000000002</v>
      </c>
      <c r="E99" s="35">
        <f t="shared" si="2"/>
        <v>101.29</v>
      </c>
      <c r="G99" s="32"/>
      <c r="H99" s="104"/>
    </row>
    <row r="100" spans="2:7" ht="13.5" customHeight="1" thickBot="1">
      <c r="B100" s="345" t="s">
        <v>15</v>
      </c>
      <c r="C100" s="346"/>
      <c r="D100" s="99">
        <f>SUM(D98:D99)</f>
        <v>0.25485840000000004</v>
      </c>
      <c r="E100" s="100">
        <f>SUM(E98:E99)</f>
        <v>376.53000000000003</v>
      </c>
      <c r="G100" s="30"/>
    </row>
    <row r="101" spans="2:6" ht="12.75">
      <c r="B101" s="85"/>
      <c r="C101" s="86"/>
      <c r="D101" s="86"/>
      <c r="E101" s="87"/>
      <c r="F101" s="29"/>
    </row>
    <row r="102" spans="2:5" ht="13.5" thickBot="1">
      <c r="B102" s="89" t="s">
        <v>34</v>
      </c>
      <c r="C102" s="90"/>
      <c r="D102" s="90"/>
      <c r="E102" s="91"/>
    </row>
    <row r="103" spans="2:5" ht="12.75">
      <c r="B103" s="12">
        <v>4</v>
      </c>
      <c r="C103" s="98" t="s">
        <v>33</v>
      </c>
      <c r="D103" s="27" t="s">
        <v>20</v>
      </c>
      <c r="E103" s="11" t="s">
        <v>19</v>
      </c>
    </row>
    <row r="104" spans="2:5" ht="12.75">
      <c r="B104" s="10" t="s">
        <v>32</v>
      </c>
      <c r="C104" s="93" t="s">
        <v>31</v>
      </c>
      <c r="D104" s="18">
        <f>D66</f>
        <v>0.3680000000000001</v>
      </c>
      <c r="E104" s="17">
        <f>E66</f>
        <v>543.6700000000001</v>
      </c>
    </row>
    <row r="105" spans="2:5" ht="12.75">
      <c r="B105" s="10" t="s">
        <v>30</v>
      </c>
      <c r="C105" s="93" t="s">
        <v>29</v>
      </c>
      <c r="D105" s="18">
        <f>D73</f>
        <v>0.1243512</v>
      </c>
      <c r="E105" s="17">
        <f>E73</f>
        <v>183.72000000000003</v>
      </c>
    </row>
    <row r="106" spans="2:5" ht="12.75">
      <c r="B106" s="10" t="s">
        <v>28</v>
      </c>
      <c r="C106" s="93" t="s">
        <v>27</v>
      </c>
      <c r="D106" s="18">
        <f>D79</f>
        <v>0.008618400000000002</v>
      </c>
      <c r="E106" s="17">
        <f>E79</f>
        <v>12.74</v>
      </c>
    </row>
    <row r="107" spans="2:5" ht="12.75">
      <c r="B107" s="10" t="s">
        <v>26</v>
      </c>
      <c r="C107" s="93" t="s">
        <v>25</v>
      </c>
      <c r="D107" s="18">
        <f>D89</f>
        <v>0.0775472</v>
      </c>
      <c r="E107" s="17">
        <f>E89</f>
        <v>114.58000000000001</v>
      </c>
    </row>
    <row r="108" spans="2:5" ht="13.5" thickBot="1">
      <c r="B108" s="7" t="s">
        <v>24</v>
      </c>
      <c r="C108" s="96" t="s">
        <v>23</v>
      </c>
      <c r="D108" s="36">
        <f>D100</f>
        <v>0.25485840000000004</v>
      </c>
      <c r="E108" s="35">
        <f>E100</f>
        <v>376.53000000000003</v>
      </c>
    </row>
    <row r="109" spans="2:5" ht="12.75" customHeight="1" thickBot="1">
      <c r="B109" s="345" t="s">
        <v>15</v>
      </c>
      <c r="C109" s="346"/>
      <c r="D109" s="101">
        <f>SUM(D104:D108)</f>
        <v>0.8333752000000002</v>
      </c>
      <c r="E109" s="100">
        <f>SUM(E104:E108)</f>
        <v>1231.2400000000002</v>
      </c>
    </row>
    <row r="110" spans="2:5" ht="12.75">
      <c r="B110" s="85"/>
      <c r="C110" s="86"/>
      <c r="D110" s="86"/>
      <c r="E110" s="87"/>
    </row>
    <row r="111" spans="1:10" s="5" customFormat="1" ht="13.5" customHeight="1" thickBot="1">
      <c r="A111" s="1"/>
      <c r="B111" s="89" t="s">
        <v>22</v>
      </c>
      <c r="C111" s="90"/>
      <c r="D111" s="90"/>
      <c r="E111" s="91"/>
      <c r="F111" s="2"/>
      <c r="G111" s="1"/>
      <c r="H111" s="1"/>
      <c r="I111" s="1"/>
      <c r="J111" s="1"/>
    </row>
    <row r="112" spans="1:10" s="5" customFormat="1" ht="12.75">
      <c r="A112" s="1"/>
      <c r="B112" s="12">
        <v>5</v>
      </c>
      <c r="C112" s="28" t="s">
        <v>21</v>
      </c>
      <c r="D112" s="27" t="s">
        <v>20</v>
      </c>
      <c r="E112" s="11" t="s">
        <v>19</v>
      </c>
      <c r="F112" s="2"/>
      <c r="G112" s="1"/>
      <c r="H112" s="1"/>
      <c r="I112" s="1"/>
      <c r="J112" s="1"/>
    </row>
    <row r="113" spans="1:10" s="5" customFormat="1" ht="29.25" customHeight="1">
      <c r="A113" s="1"/>
      <c r="B113" s="25" t="s">
        <v>11</v>
      </c>
      <c r="C113" s="92" t="s">
        <v>126</v>
      </c>
      <c r="D113" s="23">
        <v>0.015</v>
      </c>
      <c r="E113" s="22">
        <f>(D113*(E109+E52+E45+E37))</f>
        <v>68.83800000000001</v>
      </c>
      <c r="F113" s="26">
        <f>E113+E117+E109+E52+E45+E37</f>
        <v>4713.934456000001</v>
      </c>
      <c r="G113" s="1"/>
      <c r="H113" s="1"/>
      <c r="I113" s="1"/>
      <c r="J113" s="1"/>
    </row>
    <row r="114" spans="1:10" s="5" customFormat="1" ht="12.75">
      <c r="A114" s="1"/>
      <c r="B114" s="25" t="s">
        <v>9</v>
      </c>
      <c r="C114" s="24" t="s">
        <v>18</v>
      </c>
      <c r="D114" s="23">
        <f>D115+D116</f>
        <v>0.14250000000000002</v>
      </c>
      <c r="E114" s="22">
        <f>E115+E116</f>
        <v>783.3652011428574</v>
      </c>
      <c r="F114" s="21">
        <f>F113/(1-D114)</f>
        <v>5497.299657142858</v>
      </c>
      <c r="G114" s="1"/>
      <c r="H114" s="1"/>
      <c r="I114" s="1"/>
      <c r="J114" s="1"/>
    </row>
    <row r="115" spans="1:10" s="5" customFormat="1" ht="12.75">
      <c r="A115" s="1"/>
      <c r="B115" s="10"/>
      <c r="C115" s="19" t="s">
        <v>17</v>
      </c>
      <c r="D115" s="18">
        <f>H7+H8</f>
        <v>0.0925</v>
      </c>
      <c r="E115" s="17">
        <f>D115*F114</f>
        <v>508.5002182857144</v>
      </c>
      <c r="F115" s="20"/>
      <c r="G115" s="1"/>
      <c r="H115" s="1"/>
      <c r="I115" s="1"/>
      <c r="J115" s="1"/>
    </row>
    <row r="116" spans="1:10" s="5" customFormat="1" ht="12.75">
      <c r="A116" s="1"/>
      <c r="B116" s="10"/>
      <c r="C116" s="19" t="s">
        <v>124</v>
      </c>
      <c r="D116" s="18">
        <f>H6</f>
        <v>0.05</v>
      </c>
      <c r="E116" s="17">
        <f>D116*F114</f>
        <v>274.86498285714293</v>
      </c>
      <c r="F116" s="2"/>
      <c r="G116" s="1"/>
      <c r="H116" s="1"/>
      <c r="I116" s="1"/>
      <c r="J116" s="1"/>
    </row>
    <row r="117" spans="1:10" s="5" customFormat="1" ht="13.5" thickBot="1">
      <c r="A117" s="1"/>
      <c r="B117" s="16" t="s">
        <v>7</v>
      </c>
      <c r="C117" s="15" t="s">
        <v>16</v>
      </c>
      <c r="D117" s="14">
        <v>0.012</v>
      </c>
      <c r="E117" s="13">
        <f>D117*(E113+E109+E52+E45+E37)</f>
        <v>55.89645600000001</v>
      </c>
      <c r="F117" s="2"/>
      <c r="G117" s="262">
        <f>(E117+E113+E109)/E37</f>
        <v>0.9177989034939288</v>
      </c>
      <c r="H117" s="1"/>
      <c r="I117" s="1"/>
      <c r="J117" s="1"/>
    </row>
    <row r="118" spans="1:10" s="5" customFormat="1" ht="13.5" thickBot="1">
      <c r="A118" s="1"/>
      <c r="B118" s="345" t="s">
        <v>15</v>
      </c>
      <c r="C118" s="346"/>
      <c r="D118" s="101">
        <f>+D117+D114+D113</f>
        <v>0.16950000000000004</v>
      </c>
      <c r="E118" s="100">
        <f>E117+E114+E113</f>
        <v>908.0996571428574</v>
      </c>
      <c r="F118" s="2"/>
      <c r="G118" s="1"/>
      <c r="H118" s="1"/>
      <c r="I118" s="1"/>
      <c r="J118" s="1"/>
    </row>
    <row r="119" spans="2:5" ht="12.75">
      <c r="B119" s="85"/>
      <c r="C119" s="86"/>
      <c r="D119" s="86"/>
      <c r="E119" s="87"/>
    </row>
    <row r="120" spans="2:5" ht="12.75">
      <c r="B120" s="347" t="s">
        <v>14</v>
      </c>
      <c r="C120" s="348"/>
      <c r="D120" s="348"/>
      <c r="E120" s="349"/>
    </row>
    <row r="121" spans="2:5" ht="13.5" thickBot="1">
      <c r="B121" s="85"/>
      <c r="C121" s="86"/>
      <c r="D121" s="86"/>
      <c r="E121" s="87"/>
    </row>
    <row r="122" spans="2:5" ht="12.75" customHeight="1">
      <c r="B122" s="12"/>
      <c r="C122" s="340" t="s">
        <v>13</v>
      </c>
      <c r="D122" s="340"/>
      <c r="E122" s="11" t="s">
        <v>12</v>
      </c>
    </row>
    <row r="123" spans="2:5" ht="12.75">
      <c r="B123" s="10" t="s">
        <v>11</v>
      </c>
      <c r="C123" s="341" t="s">
        <v>10</v>
      </c>
      <c r="D123" s="341"/>
      <c r="E123" s="9">
        <f>E37</f>
        <v>1477.42</v>
      </c>
    </row>
    <row r="124" spans="2:5" ht="12.75">
      <c r="B124" s="10" t="s">
        <v>9</v>
      </c>
      <c r="C124" s="341" t="s">
        <v>8</v>
      </c>
      <c r="D124" s="341"/>
      <c r="E124" s="9">
        <f>E45</f>
        <v>744.27</v>
      </c>
    </row>
    <row r="125" spans="1:10" s="5" customFormat="1" ht="12.75">
      <c r="A125" s="1"/>
      <c r="B125" s="10" t="s">
        <v>7</v>
      </c>
      <c r="C125" s="341" t="s">
        <v>6</v>
      </c>
      <c r="D125" s="341"/>
      <c r="E125" s="9">
        <f>E52</f>
        <v>1136.27</v>
      </c>
      <c r="F125" s="2"/>
      <c r="G125" s="1"/>
      <c r="H125" s="1"/>
      <c r="I125" s="1"/>
      <c r="J125" s="1"/>
    </row>
    <row r="126" spans="1:10" s="5" customFormat="1" ht="12.75">
      <c r="A126" s="1"/>
      <c r="B126" s="10" t="s">
        <v>5</v>
      </c>
      <c r="C126" s="341" t="s">
        <v>4</v>
      </c>
      <c r="D126" s="341"/>
      <c r="E126" s="9">
        <f>E109</f>
        <v>1231.2400000000002</v>
      </c>
      <c r="F126" s="2"/>
      <c r="G126" s="1"/>
      <c r="H126" s="1"/>
      <c r="I126" s="1"/>
      <c r="J126" s="1"/>
    </row>
    <row r="127" spans="1:10" s="5" customFormat="1" ht="12.75">
      <c r="A127" s="1"/>
      <c r="B127" s="342" t="s">
        <v>3</v>
      </c>
      <c r="C127" s="343"/>
      <c r="D127" s="344"/>
      <c r="E127" s="8">
        <f>SUM(E123:E126)</f>
        <v>4589.200000000001</v>
      </c>
      <c r="F127" s="2"/>
      <c r="G127" s="1"/>
      <c r="H127" s="1"/>
      <c r="I127" s="1"/>
      <c r="J127" s="1"/>
    </row>
    <row r="128" spans="1:10" s="5" customFormat="1" ht="13.5" thickBot="1">
      <c r="A128" s="1"/>
      <c r="B128" s="7" t="s">
        <v>2</v>
      </c>
      <c r="C128" s="335" t="s">
        <v>1</v>
      </c>
      <c r="D128" s="336"/>
      <c r="E128" s="6">
        <f>E118</f>
        <v>908.0996571428574</v>
      </c>
      <c r="F128" s="2"/>
      <c r="G128" s="1"/>
      <c r="H128" s="1"/>
      <c r="I128" s="1"/>
      <c r="J128" s="1"/>
    </row>
    <row r="129" spans="2:5" ht="23.25" customHeight="1" thickBot="1">
      <c r="B129" s="337" t="s">
        <v>0</v>
      </c>
      <c r="C129" s="338"/>
      <c r="D129" s="339"/>
      <c r="E129" s="4">
        <f>ROUND(E127+E128,2)</f>
        <v>5497.3</v>
      </c>
    </row>
    <row r="134" ht="12.75">
      <c r="E134" s="3"/>
    </row>
    <row r="138" ht="24" customHeight="1"/>
  </sheetData>
  <sheetProtection/>
  <mergeCells count="54">
    <mergeCell ref="B2:E2"/>
    <mergeCell ref="B3:E3"/>
    <mergeCell ref="D4:E4"/>
    <mergeCell ref="D5:E5"/>
    <mergeCell ref="C8:D8"/>
    <mergeCell ref="C9:D9"/>
    <mergeCell ref="C10:D10"/>
    <mergeCell ref="C11:D11"/>
    <mergeCell ref="B14:C14"/>
    <mergeCell ref="B18:E18"/>
    <mergeCell ref="B21:E21"/>
    <mergeCell ref="C22:D22"/>
    <mergeCell ref="C37:D37"/>
    <mergeCell ref="C40:D40"/>
    <mergeCell ref="C23:D23"/>
    <mergeCell ref="C24:D24"/>
    <mergeCell ref="C25:D2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1:D41"/>
    <mergeCell ref="C42:D42"/>
    <mergeCell ref="C43:D43"/>
    <mergeCell ref="C44:D44"/>
    <mergeCell ref="C49:D49"/>
    <mergeCell ref="C50:D50"/>
    <mergeCell ref="C45:D45"/>
    <mergeCell ref="C48:D48"/>
    <mergeCell ref="C51:D51"/>
    <mergeCell ref="C52:D52"/>
    <mergeCell ref="B73:C73"/>
    <mergeCell ref="B79:C79"/>
    <mergeCell ref="B66:C66"/>
    <mergeCell ref="B71:C71"/>
    <mergeCell ref="B89:C89"/>
    <mergeCell ref="B98:C98"/>
    <mergeCell ref="B118:C118"/>
    <mergeCell ref="B120:E120"/>
    <mergeCell ref="B100:C100"/>
    <mergeCell ref="B109:C109"/>
    <mergeCell ref="C128:D128"/>
    <mergeCell ref="B129:D129"/>
    <mergeCell ref="C122:D122"/>
    <mergeCell ref="C123:D123"/>
    <mergeCell ref="C124:D124"/>
    <mergeCell ref="C125:D125"/>
    <mergeCell ref="C126:D126"/>
    <mergeCell ref="B127:D127"/>
  </mergeCells>
  <printOptions horizontalCentered="1"/>
  <pageMargins left="0.7874015748031497" right="0.3937007874015748" top="1.1811023622047245" bottom="0.7874015748031497" header="0.3937007874015748" footer="0.3937007874015748"/>
  <pageSetup fitToHeight="2" horizontalDpi="600" verticalDpi="600" orientation="portrait" paperSize="9" scale="76" r:id="rId1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L134"/>
  <sheetViews>
    <sheetView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3.140625" style="1" customWidth="1"/>
    <col min="2" max="2" width="4.00390625" style="1" customWidth="1"/>
    <col min="3" max="3" width="64.28125" style="1" customWidth="1"/>
    <col min="4" max="4" width="20.421875" style="1" customWidth="1"/>
    <col min="5" max="5" width="24.00390625" style="1" customWidth="1"/>
    <col min="6" max="6" width="12.28125" style="2" customWidth="1"/>
    <col min="7" max="7" width="30.28125" style="1" customWidth="1"/>
    <col min="8" max="8" width="15.8515625" style="1" bestFit="1" customWidth="1"/>
    <col min="9" max="9" width="15.140625" style="1" customWidth="1"/>
    <col min="10" max="16384" width="9.140625" style="1" customWidth="1"/>
  </cols>
  <sheetData>
    <row r="1" ht="13.5" thickBot="1"/>
    <row r="2" spans="2:7" ht="13.5" thickBot="1">
      <c r="B2" s="366" t="s">
        <v>117</v>
      </c>
      <c r="C2" s="367"/>
      <c r="D2" s="367"/>
      <c r="E2" s="368"/>
      <c r="G2" s="64" t="s">
        <v>116</v>
      </c>
    </row>
    <row r="3" spans="2:9" ht="14.25" thickBot="1" thickTop="1">
      <c r="B3" s="369"/>
      <c r="C3" s="370"/>
      <c r="D3" s="370"/>
      <c r="E3" s="371"/>
      <c r="G3" s="40" t="s">
        <v>16</v>
      </c>
      <c r="H3" s="61">
        <v>0.01</v>
      </c>
      <c r="I3" s="143"/>
    </row>
    <row r="4" spans="2:9" ht="13.5" thickBot="1">
      <c r="B4" s="60"/>
      <c r="C4" s="63" t="s">
        <v>115</v>
      </c>
      <c r="D4" s="372"/>
      <c r="E4" s="373"/>
      <c r="G4" s="58" t="s">
        <v>114</v>
      </c>
      <c r="H4" s="57">
        <v>0.01</v>
      </c>
      <c r="I4" s="144"/>
    </row>
    <row r="5" spans="2:8" ht="14.25" thickBot="1" thickTop="1">
      <c r="B5" s="53"/>
      <c r="C5" s="62" t="s">
        <v>113</v>
      </c>
      <c r="D5" s="374"/>
      <c r="E5" s="375"/>
      <c r="G5" s="56"/>
      <c r="H5" s="56"/>
    </row>
    <row r="6" spans="2:8" ht="13.5" thickTop="1">
      <c r="B6" s="85"/>
      <c r="C6" s="86"/>
      <c r="D6" s="86"/>
      <c r="E6" s="87"/>
      <c r="G6" s="40" t="s">
        <v>112</v>
      </c>
      <c r="H6" s="61">
        <v>0.05</v>
      </c>
    </row>
    <row r="7" spans="2:8" ht="13.5" thickBot="1">
      <c r="B7" s="89" t="s">
        <v>111</v>
      </c>
      <c r="C7" s="90"/>
      <c r="D7" s="90"/>
      <c r="E7" s="91"/>
      <c r="G7" s="38" t="s">
        <v>110</v>
      </c>
      <c r="H7" s="50">
        <v>0.0165</v>
      </c>
    </row>
    <row r="8" spans="2:8" ht="13.5" thickBot="1">
      <c r="B8" s="156" t="s">
        <v>11</v>
      </c>
      <c r="C8" s="376" t="s">
        <v>109</v>
      </c>
      <c r="D8" s="376"/>
      <c r="E8" s="59"/>
      <c r="G8" s="58" t="s">
        <v>108</v>
      </c>
      <c r="H8" s="57">
        <v>0.076</v>
      </c>
    </row>
    <row r="9" spans="2:8" ht="14.25" thickBot="1" thickTop="1">
      <c r="B9" s="10" t="s">
        <v>9</v>
      </c>
      <c r="C9" s="350" t="s">
        <v>107</v>
      </c>
      <c r="D9" s="350"/>
      <c r="E9" s="55" t="s">
        <v>216</v>
      </c>
      <c r="G9" s="56"/>
      <c r="H9" s="56"/>
    </row>
    <row r="10" spans="2:10" ht="13.5" thickTop="1">
      <c r="B10" s="10" t="s">
        <v>7</v>
      </c>
      <c r="C10" s="350" t="s">
        <v>106</v>
      </c>
      <c r="D10" s="350"/>
      <c r="E10" s="55" t="s">
        <v>390</v>
      </c>
      <c r="G10" s="40" t="s">
        <v>105</v>
      </c>
      <c r="H10" s="54">
        <v>2</v>
      </c>
      <c r="J10" s="1" t="s">
        <v>232</v>
      </c>
    </row>
    <row r="11" spans="2:8" ht="13.5" thickBot="1">
      <c r="B11" s="42" t="s">
        <v>5</v>
      </c>
      <c r="C11" s="358" t="s">
        <v>104</v>
      </c>
      <c r="D11" s="358"/>
      <c r="E11" s="52">
        <v>12</v>
      </c>
      <c r="G11" s="38" t="s">
        <v>103</v>
      </c>
      <c r="H11" s="51">
        <v>4.95</v>
      </c>
    </row>
    <row r="12" spans="2:8" ht="12.75">
      <c r="B12" s="85"/>
      <c r="C12" s="86"/>
      <c r="D12" s="86"/>
      <c r="E12" s="87"/>
      <c r="G12" s="38" t="s">
        <v>102</v>
      </c>
      <c r="H12" s="50">
        <v>0.06</v>
      </c>
    </row>
    <row r="13" spans="2:9" ht="13.5" thickBot="1">
      <c r="B13" s="89" t="s">
        <v>101</v>
      </c>
      <c r="C13" s="90"/>
      <c r="D13" s="90"/>
      <c r="E13" s="91"/>
      <c r="G13" s="38" t="s">
        <v>100</v>
      </c>
      <c r="H13" s="49">
        <v>26</v>
      </c>
      <c r="I13" s="1" t="s">
        <v>228</v>
      </c>
    </row>
    <row r="14" spans="2:8" ht="26.25" thickBot="1">
      <c r="B14" s="361" t="s">
        <v>99</v>
      </c>
      <c r="C14" s="362"/>
      <c r="D14" s="27" t="s">
        <v>98</v>
      </c>
      <c r="E14" s="11" t="s">
        <v>97</v>
      </c>
      <c r="G14" s="45" t="s">
        <v>92</v>
      </c>
      <c r="H14" s="44">
        <f>ROUND((H10*H11*H13)-(H12*E29),2)</f>
        <v>179.05</v>
      </c>
    </row>
    <row r="15" spans="2:5" ht="30.75" customHeight="1" thickBot="1" thickTop="1">
      <c r="B15" s="168"/>
      <c r="C15" s="169" t="s">
        <v>324</v>
      </c>
      <c r="D15" s="145" t="s">
        <v>224</v>
      </c>
      <c r="E15" s="88">
        <v>1</v>
      </c>
    </row>
    <row r="16" spans="2:8" ht="13.5" thickTop="1">
      <c r="B16" s="85"/>
      <c r="C16" s="86"/>
      <c r="D16" s="86"/>
      <c r="E16" s="87"/>
      <c r="G16" s="40" t="s">
        <v>96</v>
      </c>
      <c r="H16" s="39">
        <v>18.53</v>
      </c>
    </row>
    <row r="17" spans="2:9" ht="12.75">
      <c r="B17" s="85"/>
      <c r="C17" s="86"/>
      <c r="D17" s="86"/>
      <c r="E17" s="87"/>
      <c r="G17" s="38" t="s">
        <v>95</v>
      </c>
      <c r="H17" s="49">
        <v>26</v>
      </c>
      <c r="I17" s="1" t="s">
        <v>228</v>
      </c>
    </row>
    <row r="18" spans="2:8" ht="12.75">
      <c r="B18" s="347" t="s">
        <v>91</v>
      </c>
      <c r="C18" s="348"/>
      <c r="D18" s="348"/>
      <c r="E18" s="349"/>
      <c r="G18" s="48" t="s">
        <v>94</v>
      </c>
      <c r="H18" s="47">
        <f>ROUND((H16*H17),2)</f>
        <v>481.78</v>
      </c>
    </row>
    <row r="19" spans="2:8" ht="12.75">
      <c r="B19" s="85"/>
      <c r="C19" s="86"/>
      <c r="D19" s="86"/>
      <c r="E19" s="87"/>
      <c r="G19" s="38" t="s">
        <v>93</v>
      </c>
      <c r="H19" s="46">
        <f>H18*20%</f>
        <v>96.356</v>
      </c>
    </row>
    <row r="20" spans="2:8" ht="13.5" thickBot="1">
      <c r="B20" s="89" t="s">
        <v>90</v>
      </c>
      <c r="C20" s="90"/>
      <c r="D20" s="90"/>
      <c r="E20" s="91"/>
      <c r="G20" s="45" t="s">
        <v>92</v>
      </c>
      <c r="H20" s="44">
        <f>H18-H19</f>
        <v>385.424</v>
      </c>
    </row>
    <row r="21" spans="2:5" ht="14.25" thickBot="1" thickTop="1">
      <c r="B21" s="363" t="s">
        <v>89</v>
      </c>
      <c r="C21" s="364"/>
      <c r="D21" s="364"/>
      <c r="E21" s="365"/>
    </row>
    <row r="22" spans="2:8" ht="13.5" thickTop="1">
      <c r="B22" s="10">
        <v>1</v>
      </c>
      <c r="C22" s="350" t="s">
        <v>88</v>
      </c>
      <c r="D22" s="350"/>
      <c r="E22" s="43" t="s">
        <v>87</v>
      </c>
      <c r="G22" s="105" t="s">
        <v>67</v>
      </c>
      <c r="H22" s="151"/>
    </row>
    <row r="23" spans="2:8" ht="12.75">
      <c r="B23" s="10">
        <v>2</v>
      </c>
      <c r="C23" s="350" t="s">
        <v>86</v>
      </c>
      <c r="D23" s="350"/>
      <c r="E23" s="273">
        <v>1305.91</v>
      </c>
      <c r="G23" s="139" t="s">
        <v>200</v>
      </c>
      <c r="H23" s="152">
        <v>0</v>
      </c>
    </row>
    <row r="24" spans="2:12" ht="26.25" thickBot="1">
      <c r="B24" s="10">
        <v>3</v>
      </c>
      <c r="C24" s="350" t="s">
        <v>85</v>
      </c>
      <c r="D24" s="350"/>
      <c r="E24" s="43" t="str">
        <f>C15</f>
        <v>Servente de Limpeza (Esquadria)</v>
      </c>
      <c r="G24" s="106" t="s">
        <v>201</v>
      </c>
      <c r="H24" s="153">
        <v>0</v>
      </c>
      <c r="L24" s="1" t="s">
        <v>190</v>
      </c>
    </row>
    <row r="25" spans="2:5" ht="14.25" thickBot="1" thickTop="1">
      <c r="B25" s="42">
        <v>4</v>
      </c>
      <c r="C25" s="358" t="s">
        <v>84</v>
      </c>
      <c r="D25" s="358"/>
      <c r="E25" s="41">
        <v>44927</v>
      </c>
    </row>
    <row r="26" spans="2:8" ht="13.5" thickTop="1">
      <c r="B26" s="85"/>
      <c r="C26" s="86"/>
      <c r="D26" s="86"/>
      <c r="E26" s="87"/>
      <c r="G26" s="157" t="s">
        <v>80</v>
      </c>
      <c r="H26" s="158">
        <v>0</v>
      </c>
    </row>
    <row r="27" spans="2:8" ht="13.5" thickBot="1">
      <c r="B27" s="89" t="s">
        <v>83</v>
      </c>
      <c r="C27" s="90"/>
      <c r="D27" s="90"/>
      <c r="E27" s="91"/>
      <c r="G27" s="159" t="s">
        <v>217</v>
      </c>
      <c r="H27" s="160">
        <v>0</v>
      </c>
    </row>
    <row r="28" spans="2:8" ht="12.75">
      <c r="B28" s="12">
        <v>1</v>
      </c>
      <c r="C28" s="359" t="s">
        <v>82</v>
      </c>
      <c r="D28" s="360"/>
      <c r="E28" s="11" t="s">
        <v>19</v>
      </c>
      <c r="G28" s="159" t="s">
        <v>218</v>
      </c>
      <c r="H28" s="160">
        <v>0</v>
      </c>
    </row>
    <row r="29" spans="2:8" ht="12.75">
      <c r="B29" s="10" t="s">
        <v>11</v>
      </c>
      <c r="C29" s="354" t="s">
        <v>81</v>
      </c>
      <c r="D29" s="355"/>
      <c r="E29" s="9">
        <f>E23</f>
        <v>1305.91</v>
      </c>
      <c r="G29" s="159" t="s">
        <v>219</v>
      </c>
      <c r="H29" s="160">
        <v>49</v>
      </c>
    </row>
    <row r="30" spans="2:8" ht="13.5" thickBot="1">
      <c r="B30" s="10" t="s">
        <v>9</v>
      </c>
      <c r="C30" s="354" t="s">
        <v>222</v>
      </c>
      <c r="D30" s="355"/>
      <c r="E30" s="274">
        <v>50.31</v>
      </c>
      <c r="G30" s="58" t="s">
        <v>221</v>
      </c>
      <c r="H30" s="167">
        <v>130.8</v>
      </c>
    </row>
    <row r="31" spans="2:8" ht="13.5" thickTop="1">
      <c r="B31" s="10" t="s">
        <v>7</v>
      </c>
      <c r="C31" s="354" t="s">
        <v>79</v>
      </c>
      <c r="D31" s="355"/>
      <c r="E31" s="9">
        <v>0</v>
      </c>
      <c r="G31" s="164"/>
      <c r="H31" s="165"/>
    </row>
    <row r="32" spans="2:8" ht="12.75">
      <c r="B32" s="10" t="s">
        <v>5</v>
      </c>
      <c r="C32" s="354" t="s">
        <v>78</v>
      </c>
      <c r="D32" s="355"/>
      <c r="E32" s="9">
        <v>0</v>
      </c>
      <c r="G32" s="164"/>
      <c r="H32" s="165"/>
    </row>
    <row r="33" spans="2:8" ht="12.75">
      <c r="B33" s="10" t="s">
        <v>2</v>
      </c>
      <c r="C33" s="354" t="s">
        <v>77</v>
      </c>
      <c r="D33" s="355"/>
      <c r="E33" s="9">
        <v>0</v>
      </c>
      <c r="G33" s="164"/>
      <c r="H33" s="165"/>
    </row>
    <row r="34" spans="2:8" ht="12.75">
      <c r="B34" s="10" t="s">
        <v>45</v>
      </c>
      <c r="C34" s="354" t="s">
        <v>76</v>
      </c>
      <c r="D34" s="355"/>
      <c r="E34" s="9">
        <v>0</v>
      </c>
      <c r="G34" s="164"/>
      <c r="H34" s="165"/>
    </row>
    <row r="35" spans="2:8" ht="12.75">
      <c r="B35" s="10" t="s">
        <v>36</v>
      </c>
      <c r="C35" s="354" t="s">
        <v>75</v>
      </c>
      <c r="D35" s="355"/>
      <c r="E35" s="9">
        <v>0</v>
      </c>
      <c r="G35" s="166"/>
      <c r="H35" s="166"/>
    </row>
    <row r="36" spans="2:5" ht="13.5" thickBot="1">
      <c r="B36" s="7" t="s">
        <v>57</v>
      </c>
      <c r="C36" s="356" t="s">
        <v>133</v>
      </c>
      <c r="D36" s="357"/>
      <c r="E36" s="6">
        <f>ROUND(E35*0.2,2)</f>
        <v>0</v>
      </c>
    </row>
    <row r="37" spans="2:5" ht="13.5" thickBot="1">
      <c r="B37" s="102"/>
      <c r="C37" s="351" t="s">
        <v>74</v>
      </c>
      <c r="D37" s="346"/>
      <c r="E37" s="103">
        <f>ROUND(SUM(E29:E36),2)</f>
        <v>1356.22</v>
      </c>
    </row>
    <row r="38" spans="2:5" ht="12.75">
      <c r="B38" s="85"/>
      <c r="C38" s="86"/>
      <c r="D38" s="86"/>
      <c r="E38" s="87"/>
    </row>
    <row r="39" spans="2:5" ht="13.5" thickBot="1">
      <c r="B39" s="89" t="s">
        <v>73</v>
      </c>
      <c r="C39" s="90"/>
      <c r="D39" s="90"/>
      <c r="E39" s="91"/>
    </row>
    <row r="40" spans="2:5" ht="12.75">
      <c r="B40" s="12">
        <v>2</v>
      </c>
      <c r="C40" s="340" t="s">
        <v>72</v>
      </c>
      <c r="D40" s="340"/>
      <c r="E40" s="11" t="s">
        <v>19</v>
      </c>
    </row>
    <row r="41" spans="2:5" ht="12.75">
      <c r="B41" s="10" t="s">
        <v>11</v>
      </c>
      <c r="C41" s="350" t="s">
        <v>132</v>
      </c>
      <c r="D41" s="350"/>
      <c r="E41" s="17">
        <f>IF(H14=0,0,IF(ROUNDUP((H10*H11*H13)-(E29*6%),2)&lt;0,0,ROUNDUP((H10*H11*H13)-(E29*6%),2)))</f>
        <v>179.04999999999998</v>
      </c>
    </row>
    <row r="42" spans="2:5" ht="12.75">
      <c r="B42" s="10" t="s">
        <v>9</v>
      </c>
      <c r="C42" s="350" t="s">
        <v>71</v>
      </c>
      <c r="D42" s="350"/>
      <c r="E42" s="17">
        <f>H20</f>
        <v>385.424</v>
      </c>
    </row>
    <row r="43" spans="2:5" ht="12.75">
      <c r="B43" s="10" t="s">
        <v>7</v>
      </c>
      <c r="C43" s="350" t="s">
        <v>221</v>
      </c>
      <c r="D43" s="350"/>
      <c r="E43" s="17">
        <f>H30</f>
        <v>130.8</v>
      </c>
    </row>
    <row r="44" spans="2:5" ht="26.25" customHeight="1" thickBot="1">
      <c r="B44" s="10" t="s">
        <v>5</v>
      </c>
      <c r="C44" s="352" t="s">
        <v>220</v>
      </c>
      <c r="D44" s="353"/>
      <c r="E44" s="17">
        <f>H29</f>
        <v>49</v>
      </c>
    </row>
    <row r="45" spans="2:5" ht="13.5" thickBot="1">
      <c r="B45" s="102"/>
      <c r="C45" s="351" t="s">
        <v>70</v>
      </c>
      <c r="D45" s="346"/>
      <c r="E45" s="100">
        <f>ROUND(SUM(E41:E44),2)</f>
        <v>744.27</v>
      </c>
    </row>
    <row r="46" spans="2:5" ht="12.75">
      <c r="B46" s="85"/>
      <c r="C46" s="86"/>
      <c r="D46" s="86"/>
      <c r="E46" s="87"/>
    </row>
    <row r="47" spans="2:5" ht="13.5" thickBot="1">
      <c r="B47" s="89" t="s">
        <v>69</v>
      </c>
      <c r="C47" s="90"/>
      <c r="D47" s="90"/>
      <c r="E47" s="91"/>
    </row>
    <row r="48" spans="2:5" ht="12.75">
      <c r="B48" s="12">
        <v>3</v>
      </c>
      <c r="C48" s="340" t="s">
        <v>68</v>
      </c>
      <c r="D48" s="340"/>
      <c r="E48" s="11" t="s">
        <v>19</v>
      </c>
    </row>
    <row r="49" spans="2:5" ht="12.75">
      <c r="B49" s="10" t="s">
        <v>11</v>
      </c>
      <c r="C49" s="350" t="s">
        <v>67</v>
      </c>
      <c r="D49" s="350"/>
      <c r="E49" s="17">
        <f>Uniforme_EPI!F12</f>
        <v>46.120000000000005</v>
      </c>
    </row>
    <row r="50" spans="2:5" ht="12.75">
      <c r="B50" s="10" t="s">
        <v>9</v>
      </c>
      <c r="C50" s="350" t="s">
        <v>172</v>
      </c>
      <c r="D50" s="350"/>
      <c r="E50" s="17">
        <v>0</v>
      </c>
    </row>
    <row r="51" spans="2:5" ht="13.5" thickBot="1">
      <c r="B51" s="10" t="s">
        <v>7</v>
      </c>
      <c r="C51" s="350" t="s">
        <v>201</v>
      </c>
      <c r="D51" s="350"/>
      <c r="E51" s="17">
        <v>0</v>
      </c>
    </row>
    <row r="52" spans="2:5" ht="13.5" thickBot="1">
      <c r="B52" s="102"/>
      <c r="C52" s="351" t="s">
        <v>66</v>
      </c>
      <c r="D52" s="346"/>
      <c r="E52" s="100">
        <f>ROUND(SUM(E49:E51),2)</f>
        <v>46.12</v>
      </c>
    </row>
    <row r="53" spans="2:5" ht="12.75">
      <c r="B53" s="85"/>
      <c r="C53" s="86"/>
      <c r="D53" s="86"/>
      <c r="E53" s="87"/>
    </row>
    <row r="54" spans="2:5" ht="12.75">
      <c r="B54" s="89" t="s">
        <v>65</v>
      </c>
      <c r="C54" s="90"/>
      <c r="D54" s="90"/>
      <c r="E54" s="91"/>
    </row>
    <row r="55" spans="2:5" ht="12.75">
      <c r="B55" s="85"/>
      <c r="C55" s="86"/>
      <c r="D55" s="86"/>
      <c r="E55" s="87"/>
    </row>
    <row r="56" spans="2:5" ht="13.5" thickBot="1">
      <c r="B56" s="89" t="s">
        <v>64</v>
      </c>
      <c r="C56" s="90"/>
      <c r="D56" s="90"/>
      <c r="E56" s="91"/>
    </row>
    <row r="57" spans="2:5" ht="12.75">
      <c r="B57" s="12" t="s">
        <v>32</v>
      </c>
      <c r="C57" s="28" t="s">
        <v>31</v>
      </c>
      <c r="D57" s="27" t="s">
        <v>20</v>
      </c>
      <c r="E57" s="11" t="s">
        <v>19</v>
      </c>
    </row>
    <row r="58" spans="2:5" ht="12.75">
      <c r="B58" s="10" t="s">
        <v>11</v>
      </c>
      <c r="C58" s="19" t="s">
        <v>63</v>
      </c>
      <c r="D58" s="18">
        <f>'Encargos Sociais'!C5</f>
        <v>0.2</v>
      </c>
      <c r="E58" s="17">
        <f aca="true" t="shared" si="0" ref="E58:E65">ROUND((D58*$E$37),2)</f>
        <v>271.24</v>
      </c>
    </row>
    <row r="59" spans="2:5" ht="12.75">
      <c r="B59" s="10" t="s">
        <v>9</v>
      </c>
      <c r="C59" s="19" t="s">
        <v>62</v>
      </c>
      <c r="D59" s="18">
        <f>'Encargos Sociais'!C6</f>
        <v>0.015</v>
      </c>
      <c r="E59" s="17">
        <f t="shared" si="0"/>
        <v>20.34</v>
      </c>
    </row>
    <row r="60" spans="2:5" ht="12.75">
      <c r="B60" s="10" t="s">
        <v>7</v>
      </c>
      <c r="C60" s="19" t="s">
        <v>61</v>
      </c>
      <c r="D60" s="18">
        <f>'Encargos Sociais'!C7</f>
        <v>0.01</v>
      </c>
      <c r="E60" s="17">
        <f t="shared" si="0"/>
        <v>13.56</v>
      </c>
    </row>
    <row r="61" spans="2:5" ht="12.75">
      <c r="B61" s="10" t="s">
        <v>5</v>
      </c>
      <c r="C61" s="19" t="s">
        <v>60</v>
      </c>
      <c r="D61" s="18">
        <f>'Encargos Sociais'!C8</f>
        <v>0.002</v>
      </c>
      <c r="E61" s="17">
        <f t="shared" si="0"/>
        <v>2.71</v>
      </c>
    </row>
    <row r="62" spans="2:5" ht="12.75">
      <c r="B62" s="10" t="s">
        <v>2</v>
      </c>
      <c r="C62" s="19" t="s">
        <v>59</v>
      </c>
      <c r="D62" s="18">
        <v>0.025</v>
      </c>
      <c r="E62" s="17">
        <f t="shared" si="0"/>
        <v>33.91</v>
      </c>
    </row>
    <row r="63" spans="2:5" ht="12.75">
      <c r="B63" s="10" t="s">
        <v>45</v>
      </c>
      <c r="C63" s="19" t="s">
        <v>58</v>
      </c>
      <c r="D63" s="18">
        <f>'Encargos Sociais'!C10</f>
        <v>0.08</v>
      </c>
      <c r="E63" s="17">
        <f t="shared" si="0"/>
        <v>108.5</v>
      </c>
    </row>
    <row r="64" spans="2:5" ht="12.75">
      <c r="B64" s="10" t="s">
        <v>36</v>
      </c>
      <c r="C64" s="19" t="s">
        <v>229</v>
      </c>
      <c r="D64" s="18">
        <f>'Encargos Sociais'!C11</f>
        <v>0.03</v>
      </c>
      <c r="E64" s="17">
        <f t="shared" si="0"/>
        <v>40.69</v>
      </c>
    </row>
    <row r="65" spans="2:5" ht="13.5" thickBot="1">
      <c r="B65" s="7" t="s">
        <v>57</v>
      </c>
      <c r="C65" s="37" t="s">
        <v>56</v>
      </c>
      <c r="D65" s="18">
        <f>'Encargos Sociais'!C12</f>
        <v>0.006</v>
      </c>
      <c r="E65" s="17">
        <f t="shared" si="0"/>
        <v>8.14</v>
      </c>
    </row>
    <row r="66" spans="2:7" ht="12.75" customHeight="1" thickBot="1">
      <c r="B66" s="345" t="s">
        <v>15</v>
      </c>
      <c r="C66" s="346"/>
      <c r="D66" s="101">
        <f>SUM(D58:D65)</f>
        <v>0.3680000000000001</v>
      </c>
      <c r="E66" s="100">
        <f>SUM(E58:E65)</f>
        <v>499.09</v>
      </c>
      <c r="F66" s="31"/>
      <c r="G66" s="32"/>
    </row>
    <row r="67" spans="2:7" ht="12.75">
      <c r="B67" s="85"/>
      <c r="C67" s="86"/>
      <c r="D67" s="86"/>
      <c r="E67" s="87"/>
      <c r="F67" s="33"/>
      <c r="G67" s="32"/>
    </row>
    <row r="68" spans="2:7" ht="13.5" thickBot="1">
      <c r="B68" s="89" t="s">
        <v>127</v>
      </c>
      <c r="C68" s="90"/>
      <c r="D68" s="90"/>
      <c r="E68" s="91"/>
      <c r="F68" s="33"/>
      <c r="G68" s="32"/>
    </row>
    <row r="69" spans="2:7" ht="12.75">
      <c r="B69" s="12" t="s">
        <v>30</v>
      </c>
      <c r="C69" s="98" t="s">
        <v>129</v>
      </c>
      <c r="D69" s="27" t="s">
        <v>20</v>
      </c>
      <c r="E69" s="11" t="s">
        <v>19</v>
      </c>
      <c r="F69" s="33"/>
      <c r="G69" s="32"/>
    </row>
    <row r="70" spans="2:7" ht="12.75">
      <c r="B70" s="10" t="s">
        <v>11</v>
      </c>
      <c r="C70" s="93" t="s">
        <v>55</v>
      </c>
      <c r="D70" s="94">
        <f>'Encargos Sociais'!C16</f>
        <v>0.0909</v>
      </c>
      <c r="E70" s="17">
        <f>ROUND((D70*$E$37),2)</f>
        <v>123.28</v>
      </c>
      <c r="G70" s="32"/>
    </row>
    <row r="71" spans="2:7" ht="12.75" customHeight="1">
      <c r="B71" s="342" t="s">
        <v>37</v>
      </c>
      <c r="C71" s="344"/>
      <c r="D71" s="95">
        <f>D70</f>
        <v>0.0909</v>
      </c>
      <c r="E71" s="22">
        <f>SUM(E70:E70)</f>
        <v>123.28</v>
      </c>
      <c r="G71" s="32"/>
    </row>
    <row r="72" spans="2:7" ht="13.5" thickBot="1">
      <c r="B72" s="7" t="s">
        <v>9</v>
      </c>
      <c r="C72" s="96" t="s">
        <v>128</v>
      </c>
      <c r="D72" s="97">
        <f>D71*D66</f>
        <v>0.03345120000000001</v>
      </c>
      <c r="E72" s="35">
        <f>ROUND((D72*E37),2)</f>
        <v>45.37</v>
      </c>
      <c r="G72" s="32"/>
    </row>
    <row r="73" spans="2:7" ht="13.5" customHeight="1" thickBot="1">
      <c r="B73" s="345" t="s">
        <v>15</v>
      </c>
      <c r="C73" s="346"/>
      <c r="D73" s="99">
        <f>SUM(D71+D72)</f>
        <v>0.1243512</v>
      </c>
      <c r="E73" s="100">
        <f>E71+E72</f>
        <v>168.65</v>
      </c>
      <c r="G73" s="32"/>
    </row>
    <row r="74" spans="2:7" ht="12.75">
      <c r="B74" s="85"/>
      <c r="C74" s="86"/>
      <c r="D74" s="86"/>
      <c r="E74" s="87"/>
      <c r="F74" s="33"/>
      <c r="G74" s="32"/>
    </row>
    <row r="75" spans="2:7" ht="13.5" thickBot="1">
      <c r="B75" s="89" t="s">
        <v>54</v>
      </c>
      <c r="C75" s="90"/>
      <c r="D75" s="90"/>
      <c r="E75" s="91"/>
      <c r="F75" s="33"/>
      <c r="G75" s="32"/>
    </row>
    <row r="76" spans="2:7" ht="12.75">
      <c r="B76" s="12" t="s">
        <v>28</v>
      </c>
      <c r="C76" s="98" t="s">
        <v>53</v>
      </c>
      <c r="D76" s="27" t="s">
        <v>20</v>
      </c>
      <c r="E76" s="11" t="s">
        <v>19</v>
      </c>
      <c r="F76" s="33"/>
      <c r="G76" s="32"/>
    </row>
    <row r="77" spans="2:7" ht="12.75">
      <c r="B77" s="10" t="s">
        <v>11</v>
      </c>
      <c r="C77" s="93" t="s">
        <v>27</v>
      </c>
      <c r="D77" s="94">
        <f>'Encargos Sociais'!C27</f>
        <v>0.0063</v>
      </c>
      <c r="E77" s="17">
        <f>ROUND((D77*$E$37),2)</f>
        <v>8.54</v>
      </c>
      <c r="G77" s="32"/>
    </row>
    <row r="78" spans="2:7" ht="13.5" thickBot="1">
      <c r="B78" s="7" t="s">
        <v>9</v>
      </c>
      <c r="C78" s="96" t="s">
        <v>52</v>
      </c>
      <c r="D78" s="97">
        <f>D77*D66</f>
        <v>0.002318400000000001</v>
      </c>
      <c r="E78" s="35">
        <f>ROUND((D78*$E$37),2)</f>
        <v>3.14</v>
      </c>
      <c r="G78" s="32"/>
    </row>
    <row r="79" spans="2:7" ht="13.5" customHeight="1" thickBot="1">
      <c r="B79" s="345" t="s">
        <v>15</v>
      </c>
      <c r="C79" s="346"/>
      <c r="D79" s="99">
        <f>SUM(D77:D78)</f>
        <v>0.008618400000000002</v>
      </c>
      <c r="E79" s="100">
        <f>SUM(E77:E78)</f>
        <v>11.68</v>
      </c>
      <c r="G79" s="32"/>
    </row>
    <row r="80" spans="2:7" ht="12.75">
      <c r="B80" s="85"/>
      <c r="C80" s="86"/>
      <c r="D80" s="86"/>
      <c r="E80" s="87"/>
      <c r="F80" s="33"/>
      <c r="G80" s="32"/>
    </row>
    <row r="81" spans="2:7" ht="13.5" thickBot="1">
      <c r="B81" s="89" t="s">
        <v>51</v>
      </c>
      <c r="C81" s="90"/>
      <c r="D81" s="90"/>
      <c r="E81" s="91"/>
      <c r="F81" s="33"/>
      <c r="G81" s="32"/>
    </row>
    <row r="82" spans="2:7" ht="12.75">
      <c r="B82" s="12" t="s">
        <v>26</v>
      </c>
      <c r="C82" s="98" t="s">
        <v>50</v>
      </c>
      <c r="D82" s="27" t="s">
        <v>20</v>
      </c>
      <c r="E82" s="11" t="s">
        <v>19</v>
      </c>
      <c r="F82" s="33"/>
      <c r="G82" s="32"/>
    </row>
    <row r="83" spans="2:7" ht="12.75">
      <c r="B83" s="10" t="s">
        <v>11</v>
      </c>
      <c r="C83" s="93" t="s">
        <v>49</v>
      </c>
      <c r="D83" s="94">
        <f>'Encargos Sociais'!C42</f>
        <v>0.025</v>
      </c>
      <c r="E83" s="17">
        <f aca="true" t="shared" si="1" ref="E83:E88">ROUND((D83*$E$37),2)</f>
        <v>33.91</v>
      </c>
      <c r="G83" s="32"/>
    </row>
    <row r="84" spans="2:7" ht="12.75">
      <c r="B84" s="10" t="s">
        <v>9</v>
      </c>
      <c r="C84" s="93" t="s">
        <v>125</v>
      </c>
      <c r="D84" s="94">
        <f>D83*D63</f>
        <v>0.002</v>
      </c>
      <c r="E84" s="17">
        <f t="shared" si="1"/>
        <v>2.71</v>
      </c>
      <c r="G84" s="32"/>
    </row>
    <row r="85" spans="2:7" ht="12.75">
      <c r="B85" s="10" t="s">
        <v>7</v>
      </c>
      <c r="C85" s="93" t="s">
        <v>48</v>
      </c>
      <c r="D85" s="94">
        <f>'Encargos Sociais'!C55</f>
        <v>0.0436</v>
      </c>
      <c r="E85" s="17">
        <f t="shared" si="1"/>
        <v>59.13</v>
      </c>
      <c r="G85" s="34"/>
    </row>
    <row r="86" spans="2:7" ht="12.75">
      <c r="B86" s="10" t="s">
        <v>5</v>
      </c>
      <c r="C86" s="93" t="s">
        <v>47</v>
      </c>
      <c r="D86" s="94">
        <f>'Encargos Sociais'!C61</f>
        <v>0.0004</v>
      </c>
      <c r="E86" s="17">
        <f t="shared" si="1"/>
        <v>0.54</v>
      </c>
      <c r="G86" s="32"/>
    </row>
    <row r="87" spans="2:7" ht="12.75">
      <c r="B87" s="10" t="s">
        <v>2</v>
      </c>
      <c r="C87" s="93" t="s">
        <v>46</v>
      </c>
      <c r="D87" s="94">
        <f>D86*D66</f>
        <v>0.00014720000000000005</v>
      </c>
      <c r="E87" s="17">
        <f t="shared" si="1"/>
        <v>0.2</v>
      </c>
      <c r="G87" s="32"/>
    </row>
    <row r="88" spans="2:7" ht="13.5" thickBot="1">
      <c r="B88" s="7" t="s">
        <v>45</v>
      </c>
      <c r="C88" s="96" t="s">
        <v>44</v>
      </c>
      <c r="D88" s="97">
        <f>'Encargos Sociais'!C73</f>
        <v>0.0064</v>
      </c>
      <c r="E88" s="35">
        <f t="shared" si="1"/>
        <v>8.68</v>
      </c>
      <c r="G88" s="32"/>
    </row>
    <row r="89" spans="2:7" ht="13.5" customHeight="1" thickBot="1">
      <c r="B89" s="345" t="s">
        <v>15</v>
      </c>
      <c r="C89" s="346"/>
      <c r="D89" s="99">
        <f>SUM(D83:D88)</f>
        <v>0.0775472</v>
      </c>
      <c r="E89" s="100">
        <f>SUM(E83:E88)</f>
        <v>105.17000000000002</v>
      </c>
      <c r="G89" s="32"/>
    </row>
    <row r="90" spans="2:7" ht="12.75">
      <c r="B90" s="85"/>
      <c r="C90" s="86"/>
      <c r="D90" s="86"/>
      <c r="E90" s="87"/>
      <c r="F90" s="33"/>
      <c r="G90" s="32"/>
    </row>
    <row r="91" spans="2:7" ht="13.5" thickBot="1">
      <c r="B91" s="89" t="s">
        <v>43</v>
      </c>
      <c r="C91" s="90"/>
      <c r="D91" s="90"/>
      <c r="E91" s="91"/>
      <c r="F91" s="33"/>
      <c r="G91" s="32"/>
    </row>
    <row r="92" spans="2:7" ht="12.75">
      <c r="B92" s="12" t="s">
        <v>24</v>
      </c>
      <c r="C92" s="98" t="s">
        <v>42</v>
      </c>
      <c r="D92" s="27" t="s">
        <v>20</v>
      </c>
      <c r="E92" s="11" t="s">
        <v>19</v>
      </c>
      <c r="F92" s="33"/>
      <c r="G92" s="32"/>
    </row>
    <row r="93" spans="2:7" ht="12.75">
      <c r="B93" s="10" t="s">
        <v>11</v>
      </c>
      <c r="C93" s="93" t="s">
        <v>130</v>
      </c>
      <c r="D93" s="94">
        <f>'Encargos Sociais'!C82</f>
        <v>0.1212</v>
      </c>
      <c r="E93" s="17">
        <f aca="true" t="shared" si="2" ref="E93:E99">ROUND((D93*$E$37),2)</f>
        <v>164.37</v>
      </c>
      <c r="G93" s="32"/>
    </row>
    <row r="94" spans="2:7" ht="12.75">
      <c r="B94" s="10" t="s">
        <v>9</v>
      </c>
      <c r="C94" s="93" t="s">
        <v>41</v>
      </c>
      <c r="D94" s="94">
        <f>'Encargos Sociais'!C88</f>
        <v>0.0333</v>
      </c>
      <c r="E94" s="17">
        <f t="shared" si="2"/>
        <v>45.16</v>
      </c>
      <c r="G94" s="32"/>
    </row>
    <row r="95" spans="2:7" ht="12.75">
      <c r="B95" s="10" t="s">
        <v>7</v>
      </c>
      <c r="C95" s="93" t="s">
        <v>40</v>
      </c>
      <c r="D95" s="94">
        <f>'Encargos Sociais'!C96</f>
        <v>0.0013</v>
      </c>
      <c r="E95" s="17">
        <f t="shared" si="2"/>
        <v>1.76</v>
      </c>
      <c r="G95" s="32"/>
    </row>
    <row r="96" spans="2:7" ht="12.75">
      <c r="B96" s="10" t="s">
        <v>5</v>
      </c>
      <c r="C96" s="93" t="s">
        <v>39</v>
      </c>
      <c r="D96" s="94">
        <f>'Encargos Sociais'!C109</f>
        <v>0.0222</v>
      </c>
      <c r="E96" s="17">
        <f t="shared" si="2"/>
        <v>30.11</v>
      </c>
      <c r="G96" s="32"/>
    </row>
    <row r="97" spans="2:7" ht="12.75">
      <c r="B97" s="10" t="s">
        <v>2</v>
      </c>
      <c r="C97" s="93" t="s">
        <v>38</v>
      </c>
      <c r="D97" s="94">
        <f>'Encargos Sociais'!C118</f>
        <v>0.0083</v>
      </c>
      <c r="E97" s="17">
        <f t="shared" si="2"/>
        <v>11.26</v>
      </c>
      <c r="G97" s="32"/>
    </row>
    <row r="98" spans="2:8" ht="12.75" customHeight="1">
      <c r="B98" s="342" t="s">
        <v>37</v>
      </c>
      <c r="C98" s="344"/>
      <c r="D98" s="95">
        <f>SUM(D93:D97)</f>
        <v>0.1863</v>
      </c>
      <c r="E98" s="17">
        <f t="shared" si="2"/>
        <v>252.66</v>
      </c>
      <c r="G98" s="32"/>
      <c r="H98" s="3"/>
    </row>
    <row r="99" spans="2:8" ht="13.5" thickBot="1">
      <c r="B99" s="7" t="s">
        <v>36</v>
      </c>
      <c r="C99" s="96" t="s">
        <v>35</v>
      </c>
      <c r="D99" s="97">
        <f>D98*D66</f>
        <v>0.06855840000000002</v>
      </c>
      <c r="E99" s="35">
        <f t="shared" si="2"/>
        <v>92.98</v>
      </c>
      <c r="G99" s="32"/>
      <c r="H99" s="104"/>
    </row>
    <row r="100" spans="2:7" ht="13.5" customHeight="1" thickBot="1">
      <c r="B100" s="345" t="s">
        <v>15</v>
      </c>
      <c r="C100" s="346"/>
      <c r="D100" s="99">
        <f>SUM(D98:D99)</f>
        <v>0.25485840000000004</v>
      </c>
      <c r="E100" s="100">
        <f>SUM(E98:E99)</f>
        <v>345.64</v>
      </c>
      <c r="G100" s="30"/>
    </row>
    <row r="101" spans="2:6" ht="12.75">
      <c r="B101" s="85"/>
      <c r="C101" s="86"/>
      <c r="D101" s="86"/>
      <c r="E101" s="87"/>
      <c r="F101" s="29"/>
    </row>
    <row r="102" spans="2:5" ht="13.5" thickBot="1">
      <c r="B102" s="89" t="s">
        <v>34</v>
      </c>
      <c r="C102" s="90"/>
      <c r="D102" s="90"/>
      <c r="E102" s="91"/>
    </row>
    <row r="103" spans="2:5" ht="12.75">
      <c r="B103" s="12">
        <v>4</v>
      </c>
      <c r="C103" s="98" t="s">
        <v>33</v>
      </c>
      <c r="D103" s="27" t="s">
        <v>20</v>
      </c>
      <c r="E103" s="11" t="s">
        <v>19</v>
      </c>
    </row>
    <row r="104" spans="2:5" ht="12.75">
      <c r="B104" s="10" t="s">
        <v>32</v>
      </c>
      <c r="C104" s="93" t="s">
        <v>31</v>
      </c>
      <c r="D104" s="18">
        <f>D66</f>
        <v>0.3680000000000001</v>
      </c>
      <c r="E104" s="17">
        <f>E66</f>
        <v>499.09</v>
      </c>
    </row>
    <row r="105" spans="2:5" ht="12.75">
      <c r="B105" s="10" t="s">
        <v>30</v>
      </c>
      <c r="C105" s="93" t="s">
        <v>29</v>
      </c>
      <c r="D105" s="18">
        <f>D73</f>
        <v>0.1243512</v>
      </c>
      <c r="E105" s="17">
        <f>E73</f>
        <v>168.65</v>
      </c>
    </row>
    <row r="106" spans="2:5" ht="12.75">
      <c r="B106" s="10" t="s">
        <v>28</v>
      </c>
      <c r="C106" s="93" t="s">
        <v>27</v>
      </c>
      <c r="D106" s="18">
        <f>D79</f>
        <v>0.008618400000000002</v>
      </c>
      <c r="E106" s="17">
        <f>E79</f>
        <v>11.68</v>
      </c>
    </row>
    <row r="107" spans="2:5" ht="12.75">
      <c r="B107" s="10" t="s">
        <v>26</v>
      </c>
      <c r="C107" s="93" t="s">
        <v>25</v>
      </c>
      <c r="D107" s="18">
        <f>D89</f>
        <v>0.0775472</v>
      </c>
      <c r="E107" s="17">
        <f>E89</f>
        <v>105.17000000000002</v>
      </c>
    </row>
    <row r="108" spans="2:5" ht="13.5" thickBot="1">
      <c r="B108" s="7" t="s">
        <v>24</v>
      </c>
      <c r="C108" s="96" t="s">
        <v>23</v>
      </c>
      <c r="D108" s="36">
        <f>D100</f>
        <v>0.25485840000000004</v>
      </c>
      <c r="E108" s="35">
        <f>E100</f>
        <v>345.64</v>
      </c>
    </row>
    <row r="109" spans="2:5" ht="12.75" customHeight="1" thickBot="1">
      <c r="B109" s="345" t="s">
        <v>15</v>
      </c>
      <c r="C109" s="346"/>
      <c r="D109" s="101">
        <f>SUM(D104:D108)</f>
        <v>0.8333752000000002</v>
      </c>
      <c r="E109" s="100">
        <f>SUM(E104:E108)</f>
        <v>1130.23</v>
      </c>
    </row>
    <row r="110" spans="2:5" ht="12.75">
      <c r="B110" s="85"/>
      <c r="C110" s="86"/>
      <c r="D110" s="86"/>
      <c r="E110" s="87"/>
    </row>
    <row r="111" spans="1:10" s="5" customFormat="1" ht="13.5" customHeight="1" thickBot="1">
      <c r="A111" s="1"/>
      <c r="B111" s="89" t="s">
        <v>22</v>
      </c>
      <c r="C111" s="90"/>
      <c r="D111" s="90"/>
      <c r="E111" s="91"/>
      <c r="F111" s="2"/>
      <c r="G111" s="1"/>
      <c r="H111" s="1"/>
      <c r="I111" s="1"/>
      <c r="J111" s="1"/>
    </row>
    <row r="112" spans="1:10" s="5" customFormat="1" ht="12.75">
      <c r="A112" s="1"/>
      <c r="B112" s="12">
        <v>5</v>
      </c>
      <c r="C112" s="28" t="s">
        <v>21</v>
      </c>
      <c r="D112" s="27" t="s">
        <v>20</v>
      </c>
      <c r="E112" s="11" t="s">
        <v>19</v>
      </c>
      <c r="F112" s="2"/>
      <c r="G112" s="1"/>
      <c r="H112" s="1"/>
      <c r="I112" s="1"/>
      <c r="J112" s="1"/>
    </row>
    <row r="113" spans="1:10" s="5" customFormat="1" ht="29.25" customHeight="1">
      <c r="A113" s="1"/>
      <c r="B113" s="25" t="s">
        <v>11</v>
      </c>
      <c r="C113" s="92" t="s">
        <v>126</v>
      </c>
      <c r="D113" s="23">
        <v>0.015</v>
      </c>
      <c r="E113" s="22">
        <f>(D113*(E109+E52+E45+E37))</f>
        <v>49.1526</v>
      </c>
      <c r="F113" s="26">
        <f>E113+E117+E109+E52+E45+E37</f>
        <v>3365.9045112</v>
      </c>
      <c r="G113" s="1"/>
      <c r="H113" s="1"/>
      <c r="I113" s="1"/>
      <c r="J113" s="1"/>
    </row>
    <row r="114" spans="1:10" s="5" customFormat="1" ht="12.75">
      <c r="A114" s="1"/>
      <c r="B114" s="25" t="s">
        <v>9</v>
      </c>
      <c r="C114" s="24" t="s">
        <v>18</v>
      </c>
      <c r="D114" s="23">
        <f>D115+D116</f>
        <v>0.14250000000000002</v>
      </c>
      <c r="E114" s="22">
        <f>E115+E116</f>
        <v>559.3485630857143</v>
      </c>
      <c r="F114" s="21">
        <f>F113/(1-D114)</f>
        <v>3925.2530742857143</v>
      </c>
      <c r="G114" s="1"/>
      <c r="H114" s="1"/>
      <c r="I114" s="1"/>
      <c r="J114" s="1"/>
    </row>
    <row r="115" spans="1:10" s="5" customFormat="1" ht="12.75">
      <c r="A115" s="1"/>
      <c r="B115" s="10"/>
      <c r="C115" s="19" t="s">
        <v>17</v>
      </c>
      <c r="D115" s="18">
        <f>H7+H8</f>
        <v>0.0925</v>
      </c>
      <c r="E115" s="17">
        <f>D115*F114</f>
        <v>363.08590937142856</v>
      </c>
      <c r="F115" s="20"/>
      <c r="G115" s="1"/>
      <c r="H115" s="1"/>
      <c r="I115" s="1"/>
      <c r="J115" s="1"/>
    </row>
    <row r="116" spans="1:10" s="5" customFormat="1" ht="12.75">
      <c r="A116" s="1"/>
      <c r="B116" s="10"/>
      <c r="C116" s="19" t="s">
        <v>124</v>
      </c>
      <c r="D116" s="18">
        <f>H6</f>
        <v>0.05</v>
      </c>
      <c r="E116" s="17">
        <f>D116*F114</f>
        <v>196.26265371428573</v>
      </c>
      <c r="F116" s="2"/>
      <c r="G116" s="1"/>
      <c r="H116" s="1"/>
      <c r="I116" s="1"/>
      <c r="J116" s="1"/>
    </row>
    <row r="117" spans="1:10" s="5" customFormat="1" ht="13.5" thickBot="1">
      <c r="A117" s="1"/>
      <c r="B117" s="16" t="s">
        <v>7</v>
      </c>
      <c r="C117" s="15" t="s">
        <v>16</v>
      </c>
      <c r="D117" s="14">
        <v>0.012</v>
      </c>
      <c r="E117" s="13">
        <f>D117*(E113+E109+E52+E45+E37)</f>
        <v>39.9119112</v>
      </c>
      <c r="F117" s="2"/>
      <c r="G117" s="262">
        <f>(E117+E113+E109)/E37</f>
        <v>0.8990388810075062</v>
      </c>
      <c r="H117" s="1"/>
      <c r="I117" s="1"/>
      <c r="J117" s="1"/>
    </row>
    <row r="118" spans="1:10" s="5" customFormat="1" ht="13.5" thickBot="1">
      <c r="A118" s="1"/>
      <c r="B118" s="345" t="s">
        <v>15</v>
      </c>
      <c r="C118" s="346"/>
      <c r="D118" s="101">
        <f>+D117+D114+D113</f>
        <v>0.16950000000000004</v>
      </c>
      <c r="E118" s="100">
        <f>E117+E114+E113</f>
        <v>648.4130742857143</v>
      </c>
      <c r="F118" s="2"/>
      <c r="G118" s="1"/>
      <c r="H118" s="1"/>
      <c r="I118" s="1"/>
      <c r="J118" s="1"/>
    </row>
    <row r="119" spans="2:5" ht="12.75">
      <c r="B119" s="85"/>
      <c r="C119" s="86"/>
      <c r="D119" s="86"/>
      <c r="E119" s="87"/>
    </row>
    <row r="120" spans="2:5" ht="12.75">
      <c r="B120" s="347" t="s">
        <v>14</v>
      </c>
      <c r="C120" s="348"/>
      <c r="D120" s="348"/>
      <c r="E120" s="349"/>
    </row>
    <row r="121" spans="2:5" ht="13.5" thickBot="1">
      <c r="B121" s="85"/>
      <c r="C121" s="86"/>
      <c r="D121" s="86"/>
      <c r="E121" s="87"/>
    </row>
    <row r="122" spans="2:5" ht="12.75" customHeight="1">
      <c r="B122" s="12"/>
      <c r="C122" s="340" t="s">
        <v>13</v>
      </c>
      <c r="D122" s="340"/>
      <c r="E122" s="11" t="s">
        <v>12</v>
      </c>
    </row>
    <row r="123" spans="2:5" ht="12.75">
      <c r="B123" s="10" t="s">
        <v>11</v>
      </c>
      <c r="C123" s="341" t="s">
        <v>10</v>
      </c>
      <c r="D123" s="341"/>
      <c r="E123" s="9">
        <f>E37</f>
        <v>1356.22</v>
      </c>
    </row>
    <row r="124" spans="2:5" ht="12.75">
      <c r="B124" s="10" t="s">
        <v>9</v>
      </c>
      <c r="C124" s="341" t="s">
        <v>8</v>
      </c>
      <c r="D124" s="341"/>
      <c r="E124" s="9">
        <f>E45</f>
        <v>744.27</v>
      </c>
    </row>
    <row r="125" spans="1:10" s="5" customFormat="1" ht="12.75">
      <c r="A125" s="1"/>
      <c r="B125" s="10" t="s">
        <v>7</v>
      </c>
      <c r="C125" s="341" t="s">
        <v>6</v>
      </c>
      <c r="D125" s="341"/>
      <c r="E125" s="9">
        <f>E52</f>
        <v>46.12</v>
      </c>
      <c r="F125" s="2"/>
      <c r="G125" s="1"/>
      <c r="H125" s="1"/>
      <c r="I125" s="1"/>
      <c r="J125" s="1"/>
    </row>
    <row r="126" spans="1:10" s="5" customFormat="1" ht="12.75">
      <c r="A126" s="1"/>
      <c r="B126" s="10" t="s">
        <v>5</v>
      </c>
      <c r="C126" s="341" t="s">
        <v>4</v>
      </c>
      <c r="D126" s="341"/>
      <c r="E126" s="9">
        <f>E109</f>
        <v>1130.23</v>
      </c>
      <c r="F126" s="2"/>
      <c r="G126" s="1"/>
      <c r="H126" s="1"/>
      <c r="I126" s="1"/>
      <c r="J126" s="1"/>
    </row>
    <row r="127" spans="1:10" s="5" customFormat="1" ht="12.75">
      <c r="A127" s="1"/>
      <c r="B127" s="342" t="s">
        <v>3</v>
      </c>
      <c r="C127" s="343"/>
      <c r="D127" s="344"/>
      <c r="E127" s="8">
        <f>SUM(E123:E126)</f>
        <v>3276.8399999999997</v>
      </c>
      <c r="F127" s="2"/>
      <c r="G127" s="1"/>
      <c r="H127" s="1"/>
      <c r="I127" s="1"/>
      <c r="J127" s="1"/>
    </row>
    <row r="128" spans="1:10" s="5" customFormat="1" ht="13.5" thickBot="1">
      <c r="A128" s="1"/>
      <c r="B128" s="7" t="s">
        <v>2</v>
      </c>
      <c r="C128" s="335" t="s">
        <v>1</v>
      </c>
      <c r="D128" s="336"/>
      <c r="E128" s="6">
        <f>E118</f>
        <v>648.4130742857143</v>
      </c>
      <c r="F128" s="2"/>
      <c r="G128" s="1"/>
      <c r="H128" s="1"/>
      <c r="I128" s="1"/>
      <c r="J128" s="1"/>
    </row>
    <row r="129" spans="2:5" ht="23.25" customHeight="1" thickBot="1">
      <c r="B129" s="337" t="s">
        <v>0</v>
      </c>
      <c r="C129" s="338"/>
      <c r="D129" s="339"/>
      <c r="E129" s="4">
        <f>ROUND(E127+E128,2)</f>
        <v>3925.25</v>
      </c>
    </row>
    <row r="134" ht="12.75">
      <c r="E134" s="3"/>
    </row>
    <row r="138" ht="24" customHeight="1"/>
  </sheetData>
  <sheetProtection/>
  <mergeCells count="54">
    <mergeCell ref="B2:E2"/>
    <mergeCell ref="B3:E3"/>
    <mergeCell ref="D4:E4"/>
    <mergeCell ref="D5:E5"/>
    <mergeCell ref="C8:D8"/>
    <mergeCell ref="C9:D9"/>
    <mergeCell ref="C10:D10"/>
    <mergeCell ref="C11:D11"/>
    <mergeCell ref="B14:C14"/>
    <mergeCell ref="B18:E18"/>
    <mergeCell ref="B21:E21"/>
    <mergeCell ref="C22:D22"/>
    <mergeCell ref="C23:D23"/>
    <mergeCell ref="C24:D24"/>
    <mergeCell ref="C25:D25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C41:D41"/>
    <mergeCell ref="C42:D42"/>
    <mergeCell ref="C43:D43"/>
    <mergeCell ref="C44:D44"/>
    <mergeCell ref="C45:D45"/>
    <mergeCell ref="C48:D48"/>
    <mergeCell ref="C49:D49"/>
    <mergeCell ref="C50:D50"/>
    <mergeCell ref="C51:D51"/>
    <mergeCell ref="C52:D52"/>
    <mergeCell ref="B66:C66"/>
    <mergeCell ref="B71:C71"/>
    <mergeCell ref="B73:C73"/>
    <mergeCell ref="B79:C79"/>
    <mergeCell ref="B89:C89"/>
    <mergeCell ref="B98:C98"/>
    <mergeCell ref="B100:C100"/>
    <mergeCell ref="B109:C109"/>
    <mergeCell ref="B118:C118"/>
    <mergeCell ref="B120:E120"/>
    <mergeCell ref="C122:D122"/>
    <mergeCell ref="C123:D123"/>
    <mergeCell ref="C124:D124"/>
    <mergeCell ref="C125:D125"/>
    <mergeCell ref="C126:D126"/>
    <mergeCell ref="B127:D127"/>
    <mergeCell ref="C128:D128"/>
    <mergeCell ref="B129:D129"/>
  </mergeCells>
  <printOptions horizontalCentered="1"/>
  <pageMargins left="0.7874015748031497" right="0.3937007874015748" top="1.1811023622047245" bottom="0.7874015748031497" header="0.3937007874015748" footer="0.3937007874015748"/>
  <pageSetup fitToHeight="2" horizontalDpi="600" verticalDpi="600" orientation="portrait" paperSize="9" scale="76" r:id="rId1"/>
  <rowBreaks count="1" manualBreakCount="1">
    <brk id="66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134"/>
  <sheetViews>
    <sheetView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3.140625" style="1" customWidth="1"/>
    <col min="2" max="2" width="4.00390625" style="1" customWidth="1"/>
    <col min="3" max="3" width="64.28125" style="1" customWidth="1"/>
    <col min="4" max="4" width="20.421875" style="1" customWidth="1"/>
    <col min="5" max="5" width="24.00390625" style="1" customWidth="1"/>
    <col min="6" max="6" width="12.28125" style="2" customWidth="1"/>
    <col min="7" max="7" width="30.28125" style="1" customWidth="1"/>
    <col min="8" max="8" width="15.8515625" style="1" bestFit="1" customWidth="1"/>
    <col min="9" max="9" width="15.140625" style="1" customWidth="1"/>
    <col min="10" max="16384" width="9.140625" style="1" customWidth="1"/>
  </cols>
  <sheetData>
    <row r="1" ht="13.5" thickBot="1"/>
    <row r="2" spans="2:7" ht="13.5" thickBot="1">
      <c r="B2" s="366" t="s">
        <v>117</v>
      </c>
      <c r="C2" s="367"/>
      <c r="D2" s="367"/>
      <c r="E2" s="368"/>
      <c r="G2" s="64" t="s">
        <v>116</v>
      </c>
    </row>
    <row r="3" spans="2:9" ht="14.25" thickBot="1" thickTop="1">
      <c r="B3" s="369"/>
      <c r="C3" s="370"/>
      <c r="D3" s="370"/>
      <c r="E3" s="371"/>
      <c r="G3" s="40" t="s">
        <v>16</v>
      </c>
      <c r="H3" s="61">
        <v>0.01</v>
      </c>
      <c r="I3" s="143"/>
    </row>
    <row r="4" spans="2:9" ht="13.5" thickBot="1">
      <c r="B4" s="60"/>
      <c r="C4" s="63" t="s">
        <v>115</v>
      </c>
      <c r="D4" s="372"/>
      <c r="E4" s="373"/>
      <c r="G4" s="58" t="s">
        <v>114</v>
      </c>
      <c r="H4" s="57">
        <v>0.01</v>
      </c>
      <c r="I4" s="144"/>
    </row>
    <row r="5" spans="2:8" ht="14.25" thickBot="1" thickTop="1">
      <c r="B5" s="53"/>
      <c r="C5" s="62" t="s">
        <v>113</v>
      </c>
      <c r="D5" s="374"/>
      <c r="E5" s="375"/>
      <c r="G5" s="56"/>
      <c r="H5" s="56"/>
    </row>
    <row r="6" spans="2:8" ht="13.5" thickTop="1">
      <c r="B6" s="85"/>
      <c r="C6" s="86"/>
      <c r="D6" s="86"/>
      <c r="E6" s="87"/>
      <c r="G6" s="40" t="s">
        <v>112</v>
      </c>
      <c r="H6" s="61">
        <v>0.05</v>
      </c>
    </row>
    <row r="7" spans="2:8" ht="13.5" thickBot="1">
      <c r="B7" s="89" t="s">
        <v>111</v>
      </c>
      <c r="C7" s="90"/>
      <c r="D7" s="90"/>
      <c r="E7" s="91"/>
      <c r="G7" s="38" t="s">
        <v>110</v>
      </c>
      <c r="H7" s="50">
        <v>0.0165</v>
      </c>
    </row>
    <row r="8" spans="2:8" ht="13.5" thickBot="1">
      <c r="B8" s="156" t="s">
        <v>11</v>
      </c>
      <c r="C8" s="376" t="s">
        <v>109</v>
      </c>
      <c r="D8" s="376"/>
      <c r="E8" s="59"/>
      <c r="G8" s="58" t="s">
        <v>108</v>
      </c>
      <c r="H8" s="57">
        <v>0.076</v>
      </c>
    </row>
    <row r="9" spans="2:8" ht="14.25" thickBot="1" thickTop="1">
      <c r="B9" s="10" t="s">
        <v>9</v>
      </c>
      <c r="C9" s="350" t="s">
        <v>107</v>
      </c>
      <c r="D9" s="350"/>
      <c r="E9" s="55" t="s">
        <v>216</v>
      </c>
      <c r="G9" s="56"/>
      <c r="H9" s="56"/>
    </row>
    <row r="10" spans="2:10" ht="13.5" thickTop="1">
      <c r="B10" s="10" t="s">
        <v>7</v>
      </c>
      <c r="C10" s="350" t="s">
        <v>106</v>
      </c>
      <c r="D10" s="350"/>
      <c r="E10" s="55" t="s">
        <v>390</v>
      </c>
      <c r="G10" s="40" t="s">
        <v>105</v>
      </c>
      <c r="H10" s="54">
        <v>2</v>
      </c>
      <c r="J10" s="1" t="s">
        <v>232</v>
      </c>
    </row>
    <row r="11" spans="2:8" ht="13.5" thickBot="1">
      <c r="B11" s="42" t="s">
        <v>5</v>
      </c>
      <c r="C11" s="358" t="s">
        <v>104</v>
      </c>
      <c r="D11" s="358"/>
      <c r="E11" s="52">
        <v>12</v>
      </c>
      <c r="G11" s="38" t="s">
        <v>103</v>
      </c>
      <c r="H11" s="51">
        <v>4.95</v>
      </c>
    </row>
    <row r="12" spans="2:8" ht="12.75">
      <c r="B12" s="85"/>
      <c r="C12" s="86"/>
      <c r="D12" s="86"/>
      <c r="E12" s="87"/>
      <c r="G12" s="38" t="s">
        <v>102</v>
      </c>
      <c r="H12" s="50">
        <v>0.06</v>
      </c>
    </row>
    <row r="13" spans="2:9" ht="13.5" thickBot="1">
      <c r="B13" s="89" t="s">
        <v>101</v>
      </c>
      <c r="C13" s="90"/>
      <c r="D13" s="90"/>
      <c r="E13" s="91"/>
      <c r="G13" s="38" t="s">
        <v>100</v>
      </c>
      <c r="H13" s="49">
        <v>21</v>
      </c>
      <c r="I13" s="1" t="s">
        <v>231</v>
      </c>
    </row>
    <row r="14" spans="2:8" ht="26.25" thickBot="1">
      <c r="B14" s="361" t="s">
        <v>99</v>
      </c>
      <c r="C14" s="362"/>
      <c r="D14" s="27" t="s">
        <v>98</v>
      </c>
      <c r="E14" s="11" t="s">
        <v>97</v>
      </c>
      <c r="G14" s="45" t="s">
        <v>92</v>
      </c>
      <c r="H14" s="44">
        <f>ROUND((H10*H11*H13)-(H12*E29),2)</f>
        <v>126.32</v>
      </c>
    </row>
    <row r="15" spans="2:5" ht="30.75" customHeight="1" thickBot="1" thickTop="1">
      <c r="B15" s="168"/>
      <c r="C15" s="169" t="s">
        <v>223</v>
      </c>
      <c r="D15" s="145" t="s">
        <v>225</v>
      </c>
      <c r="E15" s="88">
        <v>1</v>
      </c>
    </row>
    <row r="16" spans="2:8" ht="13.5" thickTop="1">
      <c r="B16" s="85"/>
      <c r="C16" s="86"/>
      <c r="D16" s="86"/>
      <c r="E16" s="87"/>
      <c r="G16" s="40" t="s">
        <v>96</v>
      </c>
      <c r="H16" s="39">
        <v>18.53</v>
      </c>
    </row>
    <row r="17" spans="2:9" ht="12.75">
      <c r="B17" s="85"/>
      <c r="C17" s="86"/>
      <c r="D17" s="86"/>
      <c r="E17" s="87"/>
      <c r="G17" s="38" t="s">
        <v>95</v>
      </c>
      <c r="H17" s="49">
        <v>21</v>
      </c>
      <c r="I17" s="1" t="s">
        <v>231</v>
      </c>
    </row>
    <row r="18" spans="2:8" ht="12.75">
      <c r="B18" s="347" t="s">
        <v>91</v>
      </c>
      <c r="C18" s="348"/>
      <c r="D18" s="348"/>
      <c r="E18" s="349"/>
      <c r="G18" s="48" t="s">
        <v>94</v>
      </c>
      <c r="H18" s="47">
        <f>ROUND((H16*H17),2)</f>
        <v>389.13</v>
      </c>
    </row>
    <row r="19" spans="2:8" ht="12.75">
      <c r="B19" s="85"/>
      <c r="C19" s="86"/>
      <c r="D19" s="86"/>
      <c r="E19" s="87"/>
      <c r="G19" s="38" t="s">
        <v>93</v>
      </c>
      <c r="H19" s="46">
        <f>H18*20%</f>
        <v>77.82600000000001</v>
      </c>
    </row>
    <row r="20" spans="2:8" ht="13.5" thickBot="1">
      <c r="B20" s="89" t="s">
        <v>90</v>
      </c>
      <c r="C20" s="90"/>
      <c r="D20" s="90"/>
      <c r="E20" s="91"/>
      <c r="G20" s="45" t="s">
        <v>92</v>
      </c>
      <c r="H20" s="44">
        <f>H18-H19</f>
        <v>311.304</v>
      </c>
    </row>
    <row r="21" spans="2:5" ht="14.25" thickBot="1" thickTop="1">
      <c r="B21" s="363" t="s">
        <v>89</v>
      </c>
      <c r="C21" s="364"/>
      <c r="D21" s="364"/>
      <c r="E21" s="365"/>
    </row>
    <row r="22" spans="2:8" ht="13.5" thickTop="1">
      <c r="B22" s="10">
        <v>1</v>
      </c>
      <c r="C22" s="350" t="s">
        <v>88</v>
      </c>
      <c r="D22" s="350"/>
      <c r="E22" s="43" t="s">
        <v>87</v>
      </c>
      <c r="G22" s="105" t="s">
        <v>67</v>
      </c>
      <c r="H22" s="151">
        <v>0</v>
      </c>
    </row>
    <row r="23" spans="2:8" ht="12.75">
      <c r="B23" s="10">
        <v>2</v>
      </c>
      <c r="C23" s="350" t="s">
        <v>86</v>
      </c>
      <c r="D23" s="350"/>
      <c r="E23" s="273">
        <v>1359.65</v>
      </c>
      <c r="G23" s="139" t="s">
        <v>200</v>
      </c>
      <c r="H23" s="152">
        <v>0</v>
      </c>
    </row>
    <row r="24" spans="2:12" ht="13.5" thickBot="1">
      <c r="B24" s="10">
        <v>3</v>
      </c>
      <c r="C24" s="350" t="s">
        <v>85</v>
      </c>
      <c r="D24" s="350"/>
      <c r="E24" s="43" t="str">
        <f>C15</f>
        <v>Copeira</v>
      </c>
      <c r="G24" s="106" t="s">
        <v>201</v>
      </c>
      <c r="H24" s="153">
        <v>0</v>
      </c>
      <c r="L24" s="1" t="s">
        <v>190</v>
      </c>
    </row>
    <row r="25" spans="2:5" ht="14.25" thickBot="1" thickTop="1">
      <c r="B25" s="42">
        <v>4</v>
      </c>
      <c r="C25" s="358" t="s">
        <v>84</v>
      </c>
      <c r="D25" s="358"/>
      <c r="E25" s="41">
        <v>44927</v>
      </c>
    </row>
    <row r="26" spans="2:8" ht="13.5" thickTop="1">
      <c r="B26" s="85"/>
      <c r="C26" s="86"/>
      <c r="D26" s="86"/>
      <c r="E26" s="87"/>
      <c r="G26" s="157" t="s">
        <v>80</v>
      </c>
      <c r="H26" s="158">
        <v>0</v>
      </c>
    </row>
    <row r="27" spans="2:8" ht="13.5" thickBot="1">
      <c r="B27" s="89" t="s">
        <v>83</v>
      </c>
      <c r="C27" s="90"/>
      <c r="D27" s="90"/>
      <c r="E27" s="91"/>
      <c r="G27" s="159" t="s">
        <v>217</v>
      </c>
      <c r="H27" s="160">
        <v>0</v>
      </c>
    </row>
    <row r="28" spans="2:8" ht="12.75">
      <c r="B28" s="12">
        <v>1</v>
      </c>
      <c r="C28" s="359" t="s">
        <v>82</v>
      </c>
      <c r="D28" s="360"/>
      <c r="E28" s="11" t="s">
        <v>19</v>
      </c>
      <c r="G28" s="159" t="s">
        <v>218</v>
      </c>
      <c r="H28" s="160">
        <v>0</v>
      </c>
    </row>
    <row r="29" spans="2:8" ht="12.75">
      <c r="B29" s="10" t="s">
        <v>11</v>
      </c>
      <c r="C29" s="354" t="s">
        <v>81</v>
      </c>
      <c r="D29" s="355"/>
      <c r="E29" s="9">
        <f>E23</f>
        <v>1359.65</v>
      </c>
      <c r="G29" s="159" t="s">
        <v>219</v>
      </c>
      <c r="H29" s="160">
        <v>49</v>
      </c>
    </row>
    <row r="30" spans="2:8" ht="13.5" thickBot="1">
      <c r="B30" s="10" t="s">
        <v>9</v>
      </c>
      <c r="C30" s="354" t="s">
        <v>222</v>
      </c>
      <c r="D30" s="355"/>
      <c r="E30" s="273">
        <v>52.63</v>
      </c>
      <c r="G30" s="58" t="s">
        <v>221</v>
      </c>
      <c r="H30" s="167">
        <v>130.8</v>
      </c>
    </row>
    <row r="31" spans="2:8" ht="13.5" thickTop="1">
      <c r="B31" s="10" t="s">
        <v>7</v>
      </c>
      <c r="C31" s="354" t="s">
        <v>384</v>
      </c>
      <c r="D31" s="355"/>
      <c r="E31" s="9">
        <v>363.6</v>
      </c>
      <c r="G31" s="164"/>
      <c r="H31" s="165"/>
    </row>
    <row r="32" spans="2:8" ht="12.75">
      <c r="B32" s="10" t="s">
        <v>5</v>
      </c>
      <c r="C32" s="354" t="s">
        <v>78</v>
      </c>
      <c r="D32" s="355"/>
      <c r="E32" s="9">
        <v>0</v>
      </c>
      <c r="G32" s="164"/>
      <c r="H32" s="165"/>
    </row>
    <row r="33" spans="2:8" ht="12.75">
      <c r="B33" s="10" t="s">
        <v>2</v>
      </c>
      <c r="C33" s="354" t="s">
        <v>77</v>
      </c>
      <c r="D33" s="355"/>
      <c r="E33" s="9">
        <v>0</v>
      </c>
      <c r="G33" s="164"/>
      <c r="H33" s="165"/>
    </row>
    <row r="34" spans="2:8" ht="12.75">
      <c r="B34" s="10" t="s">
        <v>45</v>
      </c>
      <c r="C34" s="354" t="s">
        <v>76</v>
      </c>
      <c r="D34" s="355"/>
      <c r="E34" s="9">
        <v>0</v>
      </c>
      <c r="G34" s="164"/>
      <c r="H34" s="165"/>
    </row>
    <row r="35" spans="2:8" ht="12.75">
      <c r="B35" s="10" t="s">
        <v>36</v>
      </c>
      <c r="C35" s="354" t="s">
        <v>75</v>
      </c>
      <c r="D35" s="355"/>
      <c r="E35" s="9">
        <v>0</v>
      </c>
      <c r="G35" s="166"/>
      <c r="H35" s="166"/>
    </row>
    <row r="36" spans="2:5" ht="13.5" thickBot="1">
      <c r="B36" s="7" t="s">
        <v>57</v>
      </c>
      <c r="C36" s="356" t="s">
        <v>133</v>
      </c>
      <c r="D36" s="357"/>
      <c r="E36" s="6">
        <f>ROUND(E35*0.2,2)</f>
        <v>0</v>
      </c>
    </row>
    <row r="37" spans="2:5" ht="13.5" thickBot="1">
      <c r="B37" s="102"/>
      <c r="C37" s="351" t="s">
        <v>74</v>
      </c>
      <c r="D37" s="346"/>
      <c r="E37" s="103">
        <f>ROUND(SUM(E29:E36),2)</f>
        <v>1775.88</v>
      </c>
    </row>
    <row r="38" spans="2:5" ht="12.75">
      <c r="B38" s="85"/>
      <c r="C38" s="86"/>
      <c r="D38" s="86"/>
      <c r="E38" s="87"/>
    </row>
    <row r="39" spans="2:5" ht="13.5" thickBot="1">
      <c r="B39" s="89" t="s">
        <v>73</v>
      </c>
      <c r="C39" s="90"/>
      <c r="D39" s="90"/>
      <c r="E39" s="91"/>
    </row>
    <row r="40" spans="2:5" ht="12.75">
      <c r="B40" s="12">
        <v>2</v>
      </c>
      <c r="C40" s="340" t="s">
        <v>72</v>
      </c>
      <c r="D40" s="340"/>
      <c r="E40" s="11" t="s">
        <v>19</v>
      </c>
    </row>
    <row r="41" spans="2:5" ht="12.75">
      <c r="B41" s="10" t="s">
        <v>11</v>
      </c>
      <c r="C41" s="350" t="s">
        <v>132</v>
      </c>
      <c r="D41" s="350"/>
      <c r="E41" s="17">
        <f>IF(H14=0,0,IF(ROUNDUP((H10*H11*H13)-(E29*6%),2)&lt;0,0,ROUNDUP((H10*H11*H13)-(E29*6%),2)))</f>
        <v>126.33</v>
      </c>
    </row>
    <row r="42" spans="2:5" ht="12.75">
      <c r="B42" s="10" t="s">
        <v>9</v>
      </c>
      <c r="C42" s="350" t="s">
        <v>71</v>
      </c>
      <c r="D42" s="350"/>
      <c r="E42" s="17">
        <f>H20</f>
        <v>311.304</v>
      </c>
    </row>
    <row r="43" spans="2:5" ht="12.75">
      <c r="B43" s="10" t="s">
        <v>7</v>
      </c>
      <c r="C43" s="350" t="s">
        <v>221</v>
      </c>
      <c r="D43" s="350"/>
      <c r="E43" s="17">
        <f>H30</f>
        <v>130.8</v>
      </c>
    </row>
    <row r="44" spans="2:5" ht="26.25" customHeight="1" thickBot="1">
      <c r="B44" s="10" t="s">
        <v>5</v>
      </c>
      <c r="C44" s="352" t="s">
        <v>220</v>
      </c>
      <c r="D44" s="353"/>
      <c r="E44" s="17">
        <f>H29</f>
        <v>49</v>
      </c>
    </row>
    <row r="45" spans="2:5" ht="13.5" thickBot="1">
      <c r="B45" s="102"/>
      <c r="C45" s="351" t="s">
        <v>70</v>
      </c>
      <c r="D45" s="346"/>
      <c r="E45" s="100">
        <f>ROUND(SUM(E41:E44),2)</f>
        <v>617.43</v>
      </c>
    </row>
    <row r="46" spans="2:5" ht="12.75">
      <c r="B46" s="85"/>
      <c r="C46" s="86"/>
      <c r="D46" s="86"/>
      <c r="E46" s="87"/>
    </row>
    <row r="47" spans="2:5" ht="13.5" thickBot="1">
      <c r="B47" s="89" t="s">
        <v>69</v>
      </c>
      <c r="C47" s="90"/>
      <c r="D47" s="90"/>
      <c r="E47" s="91"/>
    </row>
    <row r="48" spans="2:5" ht="12.75">
      <c r="B48" s="12">
        <v>3</v>
      </c>
      <c r="C48" s="340" t="s">
        <v>68</v>
      </c>
      <c r="D48" s="340"/>
      <c r="E48" s="11" t="s">
        <v>19</v>
      </c>
    </row>
    <row r="49" spans="2:5" ht="12.75">
      <c r="B49" s="10" t="s">
        <v>11</v>
      </c>
      <c r="C49" s="350" t="s">
        <v>67</v>
      </c>
      <c r="D49" s="350"/>
      <c r="E49" s="17">
        <f>Uniforme_EPI!F27</f>
        <v>44.02</v>
      </c>
    </row>
    <row r="50" spans="2:5" ht="12.75">
      <c r="B50" s="10" t="s">
        <v>9</v>
      </c>
      <c r="C50" s="350" t="s">
        <v>172</v>
      </c>
      <c r="D50" s="350"/>
      <c r="E50" s="17">
        <f>H23</f>
        <v>0</v>
      </c>
    </row>
    <row r="51" spans="2:5" ht="13.5" thickBot="1">
      <c r="B51" s="10" t="s">
        <v>7</v>
      </c>
      <c r="C51" s="350" t="s">
        <v>201</v>
      </c>
      <c r="D51" s="350"/>
      <c r="E51" s="17">
        <f>H24</f>
        <v>0</v>
      </c>
    </row>
    <row r="52" spans="2:5" ht="13.5" thickBot="1">
      <c r="B52" s="102"/>
      <c r="C52" s="351" t="s">
        <v>66</v>
      </c>
      <c r="D52" s="346"/>
      <c r="E52" s="100">
        <f>ROUND(SUM(E49:E51),2)</f>
        <v>44.02</v>
      </c>
    </row>
    <row r="53" spans="2:5" ht="12.75">
      <c r="B53" s="85"/>
      <c r="C53" s="86"/>
      <c r="D53" s="86"/>
      <c r="E53" s="87"/>
    </row>
    <row r="54" spans="2:5" ht="12.75">
      <c r="B54" s="89" t="s">
        <v>65</v>
      </c>
      <c r="C54" s="90"/>
      <c r="D54" s="90"/>
      <c r="E54" s="91"/>
    </row>
    <row r="55" spans="2:5" ht="12.75">
      <c r="B55" s="85"/>
      <c r="C55" s="86"/>
      <c r="D55" s="86"/>
      <c r="E55" s="87"/>
    </row>
    <row r="56" spans="2:5" ht="13.5" thickBot="1">
      <c r="B56" s="89" t="s">
        <v>64</v>
      </c>
      <c r="C56" s="90"/>
      <c r="D56" s="90"/>
      <c r="E56" s="91"/>
    </row>
    <row r="57" spans="2:5" ht="12.75">
      <c r="B57" s="12" t="s">
        <v>32</v>
      </c>
      <c r="C57" s="28" t="s">
        <v>31</v>
      </c>
      <c r="D57" s="27" t="s">
        <v>20</v>
      </c>
      <c r="E57" s="11" t="s">
        <v>19</v>
      </c>
    </row>
    <row r="58" spans="2:5" ht="12.75">
      <c r="B58" s="10" t="s">
        <v>11</v>
      </c>
      <c r="C58" s="19" t="s">
        <v>63</v>
      </c>
      <c r="D58" s="18">
        <f>'Encargos Sociais'!C5</f>
        <v>0.2</v>
      </c>
      <c r="E58" s="17">
        <f aca="true" t="shared" si="0" ref="E58:E65">ROUND((D58*$E$37),2)</f>
        <v>355.18</v>
      </c>
    </row>
    <row r="59" spans="2:5" ht="12.75">
      <c r="B59" s="10" t="s">
        <v>9</v>
      </c>
      <c r="C59" s="19" t="s">
        <v>62</v>
      </c>
      <c r="D59" s="18">
        <f>'Encargos Sociais'!C6</f>
        <v>0.015</v>
      </c>
      <c r="E59" s="17">
        <f t="shared" si="0"/>
        <v>26.64</v>
      </c>
    </row>
    <row r="60" spans="2:5" ht="12.75">
      <c r="B60" s="10" t="s">
        <v>7</v>
      </c>
      <c r="C60" s="19" t="s">
        <v>61</v>
      </c>
      <c r="D60" s="18">
        <f>'Encargos Sociais'!C7</f>
        <v>0.01</v>
      </c>
      <c r="E60" s="17">
        <f t="shared" si="0"/>
        <v>17.76</v>
      </c>
    </row>
    <row r="61" spans="2:5" ht="12.75">
      <c r="B61" s="10" t="s">
        <v>5</v>
      </c>
      <c r="C61" s="19" t="s">
        <v>60</v>
      </c>
      <c r="D61" s="18">
        <f>'Encargos Sociais'!C8</f>
        <v>0.002</v>
      </c>
      <c r="E61" s="17">
        <f t="shared" si="0"/>
        <v>3.55</v>
      </c>
    </row>
    <row r="62" spans="2:5" ht="12.75">
      <c r="B62" s="10" t="s">
        <v>2</v>
      </c>
      <c r="C62" s="19" t="s">
        <v>59</v>
      </c>
      <c r="D62" s="18">
        <v>0.025</v>
      </c>
      <c r="E62" s="17">
        <f t="shared" si="0"/>
        <v>44.4</v>
      </c>
    </row>
    <row r="63" spans="2:5" ht="12.75">
      <c r="B63" s="10" t="s">
        <v>45</v>
      </c>
      <c r="C63" s="19" t="s">
        <v>58</v>
      </c>
      <c r="D63" s="18">
        <f>'Encargos Sociais'!C10</f>
        <v>0.08</v>
      </c>
      <c r="E63" s="17">
        <f t="shared" si="0"/>
        <v>142.07</v>
      </c>
    </row>
    <row r="64" spans="2:5" ht="12.75">
      <c r="B64" s="10" t="s">
        <v>36</v>
      </c>
      <c r="C64" s="19" t="s">
        <v>229</v>
      </c>
      <c r="D64" s="18">
        <f>'Encargos Sociais'!C11</f>
        <v>0.03</v>
      </c>
      <c r="E64" s="17">
        <f t="shared" si="0"/>
        <v>53.28</v>
      </c>
    </row>
    <row r="65" spans="2:5" ht="13.5" thickBot="1">
      <c r="B65" s="7" t="s">
        <v>57</v>
      </c>
      <c r="C65" s="37" t="s">
        <v>56</v>
      </c>
      <c r="D65" s="18">
        <f>'Encargos Sociais'!C12</f>
        <v>0.006</v>
      </c>
      <c r="E65" s="17">
        <f t="shared" si="0"/>
        <v>10.66</v>
      </c>
    </row>
    <row r="66" spans="2:7" ht="12.75" customHeight="1" thickBot="1">
      <c r="B66" s="345" t="s">
        <v>15</v>
      </c>
      <c r="C66" s="346"/>
      <c r="D66" s="101">
        <f>SUM(D58:D65)</f>
        <v>0.3680000000000001</v>
      </c>
      <c r="E66" s="100">
        <f>SUM(E58:E65)</f>
        <v>653.5399999999998</v>
      </c>
      <c r="F66" s="31"/>
      <c r="G66" s="32"/>
    </row>
    <row r="67" spans="2:7" ht="12.75">
      <c r="B67" s="85"/>
      <c r="C67" s="86"/>
      <c r="D67" s="86"/>
      <c r="E67" s="87"/>
      <c r="F67" s="33"/>
      <c r="G67" s="32"/>
    </row>
    <row r="68" spans="2:7" ht="13.5" thickBot="1">
      <c r="B68" s="89" t="s">
        <v>127</v>
      </c>
      <c r="C68" s="90"/>
      <c r="D68" s="90"/>
      <c r="E68" s="91"/>
      <c r="F68" s="33"/>
      <c r="G68" s="32"/>
    </row>
    <row r="69" spans="2:7" ht="12.75">
      <c r="B69" s="12" t="s">
        <v>30</v>
      </c>
      <c r="C69" s="98" t="s">
        <v>129</v>
      </c>
      <c r="D69" s="27" t="s">
        <v>20</v>
      </c>
      <c r="E69" s="11" t="s">
        <v>19</v>
      </c>
      <c r="F69" s="33"/>
      <c r="G69" s="32"/>
    </row>
    <row r="70" spans="2:7" ht="12.75">
      <c r="B70" s="10" t="s">
        <v>11</v>
      </c>
      <c r="C70" s="93" t="s">
        <v>55</v>
      </c>
      <c r="D70" s="94">
        <f>'Encargos Sociais'!C16</f>
        <v>0.0909</v>
      </c>
      <c r="E70" s="17">
        <f>ROUND((D70*$E$37),2)</f>
        <v>161.43</v>
      </c>
      <c r="G70" s="32"/>
    </row>
    <row r="71" spans="2:7" ht="12.75" customHeight="1">
      <c r="B71" s="342" t="s">
        <v>37</v>
      </c>
      <c r="C71" s="344"/>
      <c r="D71" s="95">
        <f>D70</f>
        <v>0.0909</v>
      </c>
      <c r="E71" s="22">
        <f>SUM(E70:E70)</f>
        <v>161.43</v>
      </c>
      <c r="G71" s="32"/>
    </row>
    <row r="72" spans="2:7" ht="13.5" thickBot="1">
      <c r="B72" s="7" t="s">
        <v>9</v>
      </c>
      <c r="C72" s="96" t="s">
        <v>128</v>
      </c>
      <c r="D72" s="97">
        <f>D71*D66</f>
        <v>0.03345120000000001</v>
      </c>
      <c r="E72" s="35">
        <f>ROUND((D72*E37),2)</f>
        <v>59.41</v>
      </c>
      <c r="G72" s="32"/>
    </row>
    <row r="73" spans="2:7" ht="13.5" customHeight="1" thickBot="1">
      <c r="B73" s="345" t="s">
        <v>15</v>
      </c>
      <c r="C73" s="346"/>
      <c r="D73" s="99">
        <f>SUM(D71+D72)</f>
        <v>0.1243512</v>
      </c>
      <c r="E73" s="100">
        <f>E71+E72</f>
        <v>220.84</v>
      </c>
      <c r="G73" s="32"/>
    </row>
    <row r="74" spans="2:7" ht="12.75">
      <c r="B74" s="85"/>
      <c r="C74" s="86"/>
      <c r="D74" s="86"/>
      <c r="E74" s="87"/>
      <c r="F74" s="33"/>
      <c r="G74" s="32"/>
    </row>
    <row r="75" spans="2:7" ht="13.5" thickBot="1">
      <c r="B75" s="89" t="s">
        <v>54</v>
      </c>
      <c r="C75" s="90"/>
      <c r="D75" s="90"/>
      <c r="E75" s="91"/>
      <c r="F75" s="33"/>
      <c r="G75" s="32"/>
    </row>
    <row r="76" spans="2:7" ht="12.75">
      <c r="B76" s="12" t="s">
        <v>28</v>
      </c>
      <c r="C76" s="98" t="s">
        <v>53</v>
      </c>
      <c r="D76" s="27" t="s">
        <v>20</v>
      </c>
      <c r="E76" s="11" t="s">
        <v>19</v>
      </c>
      <c r="F76" s="33"/>
      <c r="G76" s="32"/>
    </row>
    <row r="77" spans="2:7" ht="12.75">
      <c r="B77" s="10" t="s">
        <v>11</v>
      </c>
      <c r="C77" s="93" t="s">
        <v>27</v>
      </c>
      <c r="D77" s="94">
        <f>'Encargos Sociais'!C27</f>
        <v>0.0063</v>
      </c>
      <c r="E77" s="17">
        <f>ROUND((D77*$E$37),2)</f>
        <v>11.19</v>
      </c>
      <c r="G77" s="32"/>
    </row>
    <row r="78" spans="2:7" ht="13.5" thickBot="1">
      <c r="B78" s="7" t="s">
        <v>9</v>
      </c>
      <c r="C78" s="96" t="s">
        <v>52</v>
      </c>
      <c r="D78" s="97">
        <f>D77*D66</f>
        <v>0.002318400000000001</v>
      </c>
      <c r="E78" s="35">
        <f>ROUND((D78*$E$37),2)</f>
        <v>4.12</v>
      </c>
      <c r="G78" s="32"/>
    </row>
    <row r="79" spans="2:7" ht="13.5" customHeight="1" thickBot="1">
      <c r="B79" s="345" t="s">
        <v>15</v>
      </c>
      <c r="C79" s="346"/>
      <c r="D79" s="99">
        <f>SUM(D77:D78)</f>
        <v>0.008618400000000002</v>
      </c>
      <c r="E79" s="100">
        <f>SUM(E77:E78)</f>
        <v>15.309999999999999</v>
      </c>
      <c r="G79" s="32"/>
    </row>
    <row r="80" spans="2:7" ht="12.75">
      <c r="B80" s="85"/>
      <c r="C80" s="86"/>
      <c r="D80" s="86"/>
      <c r="E80" s="87"/>
      <c r="F80" s="33"/>
      <c r="G80" s="32"/>
    </row>
    <row r="81" spans="2:7" ht="13.5" thickBot="1">
      <c r="B81" s="89" t="s">
        <v>51</v>
      </c>
      <c r="C81" s="90"/>
      <c r="D81" s="90"/>
      <c r="E81" s="91"/>
      <c r="F81" s="33"/>
      <c r="G81" s="32"/>
    </row>
    <row r="82" spans="2:7" ht="12.75">
      <c r="B82" s="12" t="s">
        <v>26</v>
      </c>
      <c r="C82" s="98" t="s">
        <v>50</v>
      </c>
      <c r="D82" s="27" t="s">
        <v>20</v>
      </c>
      <c r="E82" s="11" t="s">
        <v>19</v>
      </c>
      <c r="F82" s="33"/>
      <c r="G82" s="32"/>
    </row>
    <row r="83" spans="2:7" ht="12.75">
      <c r="B83" s="10" t="s">
        <v>11</v>
      </c>
      <c r="C83" s="93" t="s">
        <v>49</v>
      </c>
      <c r="D83" s="94">
        <f>'Encargos Sociais'!C42</f>
        <v>0.025</v>
      </c>
      <c r="E83" s="17">
        <f aca="true" t="shared" si="1" ref="E83:E88">ROUND((D83*$E$37),2)</f>
        <v>44.4</v>
      </c>
      <c r="G83" s="32"/>
    </row>
    <row r="84" spans="2:7" ht="12.75">
      <c r="B84" s="10" t="s">
        <v>9</v>
      </c>
      <c r="C84" s="93" t="s">
        <v>125</v>
      </c>
      <c r="D84" s="94">
        <f>D83*D63</f>
        <v>0.002</v>
      </c>
      <c r="E84" s="17">
        <f t="shared" si="1"/>
        <v>3.55</v>
      </c>
      <c r="G84" s="32"/>
    </row>
    <row r="85" spans="2:7" ht="12.75">
      <c r="B85" s="10" t="s">
        <v>7</v>
      </c>
      <c r="C85" s="93" t="s">
        <v>48</v>
      </c>
      <c r="D85" s="94">
        <f>'Encargos Sociais'!C55</f>
        <v>0.0436</v>
      </c>
      <c r="E85" s="17">
        <f t="shared" si="1"/>
        <v>77.43</v>
      </c>
      <c r="G85" s="34"/>
    </row>
    <row r="86" spans="2:7" ht="12.75">
      <c r="B86" s="10" t="s">
        <v>5</v>
      </c>
      <c r="C86" s="93" t="s">
        <v>47</v>
      </c>
      <c r="D86" s="94">
        <f>'Encargos Sociais'!C61</f>
        <v>0.0004</v>
      </c>
      <c r="E86" s="17">
        <f t="shared" si="1"/>
        <v>0.71</v>
      </c>
      <c r="G86" s="32"/>
    </row>
    <row r="87" spans="2:7" ht="12.75">
      <c r="B87" s="10" t="s">
        <v>2</v>
      </c>
      <c r="C87" s="93" t="s">
        <v>46</v>
      </c>
      <c r="D87" s="94">
        <f>D86*D66</f>
        <v>0.00014720000000000005</v>
      </c>
      <c r="E87" s="17">
        <f t="shared" si="1"/>
        <v>0.26</v>
      </c>
      <c r="G87" s="32"/>
    </row>
    <row r="88" spans="2:7" ht="13.5" thickBot="1">
      <c r="B88" s="7" t="s">
        <v>45</v>
      </c>
      <c r="C88" s="96" t="s">
        <v>44</v>
      </c>
      <c r="D88" s="97">
        <f>'Encargos Sociais'!C73</f>
        <v>0.0064</v>
      </c>
      <c r="E88" s="35">
        <f t="shared" si="1"/>
        <v>11.37</v>
      </c>
      <c r="G88" s="32"/>
    </row>
    <row r="89" spans="2:7" ht="13.5" customHeight="1" thickBot="1">
      <c r="B89" s="345" t="s">
        <v>15</v>
      </c>
      <c r="C89" s="346"/>
      <c r="D89" s="99">
        <f>SUM(D83:D88)</f>
        <v>0.0775472</v>
      </c>
      <c r="E89" s="100">
        <f>SUM(E83:E88)</f>
        <v>137.72</v>
      </c>
      <c r="G89" s="32"/>
    </row>
    <row r="90" spans="2:7" ht="12.75">
      <c r="B90" s="85"/>
      <c r="C90" s="86"/>
      <c r="D90" s="86"/>
      <c r="E90" s="87"/>
      <c r="F90" s="33"/>
      <c r="G90" s="32"/>
    </row>
    <row r="91" spans="2:7" ht="13.5" thickBot="1">
      <c r="B91" s="89" t="s">
        <v>43</v>
      </c>
      <c r="C91" s="90"/>
      <c r="D91" s="90"/>
      <c r="E91" s="91"/>
      <c r="F91" s="33"/>
      <c r="G91" s="32"/>
    </row>
    <row r="92" spans="2:7" ht="12.75">
      <c r="B92" s="12" t="s">
        <v>24</v>
      </c>
      <c r="C92" s="98" t="s">
        <v>42</v>
      </c>
      <c r="D92" s="27" t="s">
        <v>20</v>
      </c>
      <c r="E92" s="11" t="s">
        <v>19</v>
      </c>
      <c r="F92" s="33"/>
      <c r="G92" s="32"/>
    </row>
    <row r="93" spans="2:7" ht="12.75">
      <c r="B93" s="10" t="s">
        <v>11</v>
      </c>
      <c r="C93" s="93" t="s">
        <v>130</v>
      </c>
      <c r="D93" s="94">
        <f>'Encargos Sociais'!C82</f>
        <v>0.1212</v>
      </c>
      <c r="E93" s="17">
        <f aca="true" t="shared" si="2" ref="E93:E99">ROUND((D93*$E$37),2)</f>
        <v>215.24</v>
      </c>
      <c r="G93" s="32"/>
    </row>
    <row r="94" spans="2:7" ht="12.75">
      <c r="B94" s="10" t="s">
        <v>9</v>
      </c>
      <c r="C94" s="93" t="s">
        <v>41</v>
      </c>
      <c r="D94" s="94">
        <f>'Encargos Sociais'!C88</f>
        <v>0.0333</v>
      </c>
      <c r="E94" s="17">
        <f t="shared" si="2"/>
        <v>59.14</v>
      </c>
      <c r="G94" s="32"/>
    </row>
    <row r="95" spans="2:7" ht="12.75">
      <c r="B95" s="10" t="s">
        <v>7</v>
      </c>
      <c r="C95" s="93" t="s">
        <v>40</v>
      </c>
      <c r="D95" s="94">
        <f>'Encargos Sociais'!C96</f>
        <v>0.0013</v>
      </c>
      <c r="E95" s="17">
        <f t="shared" si="2"/>
        <v>2.31</v>
      </c>
      <c r="G95" s="32"/>
    </row>
    <row r="96" spans="2:7" ht="12.75">
      <c r="B96" s="10" t="s">
        <v>5</v>
      </c>
      <c r="C96" s="93" t="s">
        <v>39</v>
      </c>
      <c r="D96" s="94">
        <f>'Encargos Sociais'!C109</f>
        <v>0.0222</v>
      </c>
      <c r="E96" s="17">
        <f t="shared" si="2"/>
        <v>39.42</v>
      </c>
      <c r="G96" s="32"/>
    </row>
    <row r="97" spans="2:7" ht="12.75">
      <c r="B97" s="10" t="s">
        <v>2</v>
      </c>
      <c r="C97" s="93" t="s">
        <v>38</v>
      </c>
      <c r="D97" s="94">
        <f>'Encargos Sociais'!C118</f>
        <v>0.0083</v>
      </c>
      <c r="E97" s="17">
        <f t="shared" si="2"/>
        <v>14.74</v>
      </c>
      <c r="G97" s="32"/>
    </row>
    <row r="98" spans="2:8" ht="12.75" customHeight="1">
      <c r="B98" s="342" t="s">
        <v>37</v>
      </c>
      <c r="C98" s="344"/>
      <c r="D98" s="95">
        <f>SUM(D93:D97)</f>
        <v>0.1863</v>
      </c>
      <c r="E98" s="17">
        <f t="shared" si="2"/>
        <v>330.85</v>
      </c>
      <c r="G98" s="32"/>
      <c r="H98" s="3"/>
    </row>
    <row r="99" spans="2:8" ht="13.5" thickBot="1">
      <c r="B99" s="7" t="s">
        <v>36</v>
      </c>
      <c r="C99" s="96" t="s">
        <v>35</v>
      </c>
      <c r="D99" s="97">
        <f>D98*D66</f>
        <v>0.06855840000000002</v>
      </c>
      <c r="E99" s="35">
        <f t="shared" si="2"/>
        <v>121.75</v>
      </c>
      <c r="G99" s="32"/>
      <c r="H99" s="104"/>
    </row>
    <row r="100" spans="2:7" ht="13.5" customHeight="1" thickBot="1">
      <c r="B100" s="345" t="s">
        <v>15</v>
      </c>
      <c r="C100" s="346"/>
      <c r="D100" s="99">
        <f>SUM(D98:D99)</f>
        <v>0.25485840000000004</v>
      </c>
      <c r="E100" s="100">
        <f>SUM(E98:E99)</f>
        <v>452.6</v>
      </c>
      <c r="G100" s="30"/>
    </row>
    <row r="101" spans="2:6" ht="12.75">
      <c r="B101" s="85"/>
      <c r="C101" s="86"/>
      <c r="D101" s="86"/>
      <c r="E101" s="87"/>
      <c r="F101" s="29"/>
    </row>
    <row r="102" spans="2:5" ht="13.5" thickBot="1">
      <c r="B102" s="89" t="s">
        <v>34</v>
      </c>
      <c r="C102" s="90"/>
      <c r="D102" s="90"/>
      <c r="E102" s="91"/>
    </row>
    <row r="103" spans="2:5" ht="12.75">
      <c r="B103" s="12">
        <v>4</v>
      </c>
      <c r="C103" s="98" t="s">
        <v>33</v>
      </c>
      <c r="D103" s="27" t="s">
        <v>20</v>
      </c>
      <c r="E103" s="11" t="s">
        <v>19</v>
      </c>
    </row>
    <row r="104" spans="2:5" ht="12.75">
      <c r="B104" s="10" t="s">
        <v>32</v>
      </c>
      <c r="C104" s="93" t="s">
        <v>31</v>
      </c>
      <c r="D104" s="18">
        <f>D66</f>
        <v>0.3680000000000001</v>
      </c>
      <c r="E104" s="17">
        <f>E66</f>
        <v>653.5399999999998</v>
      </c>
    </row>
    <row r="105" spans="2:5" ht="12.75">
      <c r="B105" s="10" t="s">
        <v>30</v>
      </c>
      <c r="C105" s="93" t="s">
        <v>29</v>
      </c>
      <c r="D105" s="18">
        <f>D73</f>
        <v>0.1243512</v>
      </c>
      <c r="E105" s="17">
        <f>E73</f>
        <v>220.84</v>
      </c>
    </row>
    <row r="106" spans="2:5" ht="12.75">
      <c r="B106" s="10" t="s">
        <v>28</v>
      </c>
      <c r="C106" s="93" t="s">
        <v>27</v>
      </c>
      <c r="D106" s="18">
        <f>D79</f>
        <v>0.008618400000000002</v>
      </c>
      <c r="E106" s="17">
        <f>E79</f>
        <v>15.309999999999999</v>
      </c>
    </row>
    <row r="107" spans="2:5" ht="12.75">
      <c r="B107" s="10" t="s">
        <v>26</v>
      </c>
      <c r="C107" s="93" t="s">
        <v>25</v>
      </c>
      <c r="D107" s="18">
        <f>D89</f>
        <v>0.0775472</v>
      </c>
      <c r="E107" s="17">
        <f>E89</f>
        <v>137.72</v>
      </c>
    </row>
    <row r="108" spans="2:5" ht="13.5" thickBot="1">
      <c r="B108" s="7" t="s">
        <v>24</v>
      </c>
      <c r="C108" s="96" t="s">
        <v>23</v>
      </c>
      <c r="D108" s="36">
        <f>D100</f>
        <v>0.25485840000000004</v>
      </c>
      <c r="E108" s="35">
        <f>E100</f>
        <v>452.6</v>
      </c>
    </row>
    <row r="109" spans="2:5" ht="12.75" customHeight="1" thickBot="1">
      <c r="B109" s="345" t="s">
        <v>15</v>
      </c>
      <c r="C109" s="346"/>
      <c r="D109" s="101">
        <f>SUM(D104:D108)</f>
        <v>0.8333752000000002</v>
      </c>
      <c r="E109" s="100">
        <f>SUM(E104:E108)</f>
        <v>1480.0099999999998</v>
      </c>
    </row>
    <row r="110" spans="2:5" ht="12.75">
      <c r="B110" s="85"/>
      <c r="C110" s="86"/>
      <c r="D110" s="86"/>
      <c r="E110" s="87"/>
    </row>
    <row r="111" spans="1:10" s="5" customFormat="1" ht="13.5" customHeight="1" thickBot="1">
      <c r="A111" s="1"/>
      <c r="B111" s="89" t="s">
        <v>22</v>
      </c>
      <c r="C111" s="90"/>
      <c r="D111" s="90"/>
      <c r="E111" s="91"/>
      <c r="F111" s="2"/>
      <c r="G111" s="1"/>
      <c r="H111" s="1"/>
      <c r="I111" s="1"/>
      <c r="J111" s="1"/>
    </row>
    <row r="112" spans="1:10" s="5" customFormat="1" ht="12.75">
      <c r="A112" s="1"/>
      <c r="B112" s="12">
        <v>5</v>
      </c>
      <c r="C112" s="28" t="s">
        <v>21</v>
      </c>
      <c r="D112" s="27" t="s">
        <v>20</v>
      </c>
      <c r="E112" s="11" t="s">
        <v>19</v>
      </c>
      <c r="F112" s="2"/>
      <c r="G112" s="1"/>
      <c r="H112" s="1"/>
      <c r="I112" s="1"/>
      <c r="J112" s="1"/>
    </row>
    <row r="113" spans="1:10" s="5" customFormat="1" ht="29.25" customHeight="1">
      <c r="A113" s="1"/>
      <c r="B113" s="25" t="s">
        <v>11</v>
      </c>
      <c r="C113" s="92" t="s">
        <v>126</v>
      </c>
      <c r="D113" s="23">
        <v>0.01</v>
      </c>
      <c r="E113" s="22">
        <f>(D113*(E109+E52+E45+E37))</f>
        <v>39.1734</v>
      </c>
      <c r="F113" s="26">
        <f>E113+E117+E109+E52+E45+E37</f>
        <v>4015.861101</v>
      </c>
      <c r="G113" s="1"/>
      <c r="H113" s="1"/>
      <c r="I113" s="1"/>
      <c r="J113" s="1"/>
    </row>
    <row r="114" spans="1:10" s="5" customFormat="1" ht="12.75">
      <c r="A114" s="1"/>
      <c r="B114" s="25" t="s">
        <v>9</v>
      </c>
      <c r="C114" s="24" t="s">
        <v>18</v>
      </c>
      <c r="D114" s="23">
        <f>D115+D116</f>
        <v>0.14250000000000002</v>
      </c>
      <c r="E114" s="22">
        <f>E115+E116</f>
        <v>667.3588418571429</v>
      </c>
      <c r="F114" s="21">
        <f>F113/(1-D114)</f>
        <v>4683.219942857143</v>
      </c>
      <c r="G114" s="1"/>
      <c r="H114" s="1"/>
      <c r="I114" s="1"/>
      <c r="J114" s="1"/>
    </row>
    <row r="115" spans="1:10" s="5" customFormat="1" ht="12.75">
      <c r="A115" s="1"/>
      <c r="B115" s="10"/>
      <c r="C115" s="19" t="s">
        <v>17</v>
      </c>
      <c r="D115" s="18">
        <f>H7+H8</f>
        <v>0.0925</v>
      </c>
      <c r="E115" s="17">
        <f>D115*F114</f>
        <v>433.19784471428574</v>
      </c>
      <c r="F115" s="20"/>
      <c r="G115" s="1"/>
      <c r="H115" s="1"/>
      <c r="I115" s="1"/>
      <c r="J115" s="1"/>
    </row>
    <row r="116" spans="1:10" s="5" customFormat="1" ht="12.75">
      <c r="A116" s="1"/>
      <c r="B116" s="10"/>
      <c r="C116" s="19" t="s">
        <v>124</v>
      </c>
      <c r="D116" s="18">
        <f>H6</f>
        <v>0.05</v>
      </c>
      <c r="E116" s="17">
        <f>D116*F114</f>
        <v>234.16099714285716</v>
      </c>
      <c r="F116" s="2"/>
      <c r="G116" s="1"/>
      <c r="H116" s="1"/>
      <c r="I116" s="1"/>
      <c r="J116" s="1"/>
    </row>
    <row r="117" spans="1:10" s="5" customFormat="1" ht="13.5" thickBot="1">
      <c r="A117" s="1"/>
      <c r="B117" s="16" t="s">
        <v>7</v>
      </c>
      <c r="C117" s="15" t="s">
        <v>16</v>
      </c>
      <c r="D117" s="14">
        <v>0.015</v>
      </c>
      <c r="E117" s="13">
        <f>D117*(E113+E109+E52+E45+E37)</f>
        <v>59.347700999999994</v>
      </c>
      <c r="F117" s="2"/>
      <c r="G117" s="262">
        <f>(E117+E113+E109)/E37</f>
        <v>0.8888726158298983</v>
      </c>
      <c r="H117" s="1"/>
      <c r="I117" s="1"/>
      <c r="J117" s="1"/>
    </row>
    <row r="118" spans="1:10" s="5" customFormat="1" ht="13.5" thickBot="1">
      <c r="A118" s="1"/>
      <c r="B118" s="345" t="s">
        <v>15</v>
      </c>
      <c r="C118" s="346"/>
      <c r="D118" s="101">
        <f>+D117+D114+D113</f>
        <v>0.16750000000000004</v>
      </c>
      <c r="E118" s="100">
        <f>E117+E114+E113</f>
        <v>765.879942857143</v>
      </c>
      <c r="F118" s="2"/>
      <c r="G118" s="1"/>
      <c r="H118" s="1"/>
      <c r="I118" s="1"/>
      <c r="J118" s="1"/>
    </row>
    <row r="119" spans="2:5" ht="12.75">
      <c r="B119" s="85"/>
      <c r="C119" s="86"/>
      <c r="D119" s="86"/>
      <c r="E119" s="87"/>
    </row>
    <row r="120" spans="2:5" ht="12.75">
      <c r="B120" s="347" t="s">
        <v>14</v>
      </c>
      <c r="C120" s="348"/>
      <c r="D120" s="348"/>
      <c r="E120" s="349"/>
    </row>
    <row r="121" spans="2:5" ht="13.5" thickBot="1">
      <c r="B121" s="85"/>
      <c r="C121" s="86"/>
      <c r="D121" s="86"/>
      <c r="E121" s="87"/>
    </row>
    <row r="122" spans="2:5" ht="12.75" customHeight="1">
      <c r="B122" s="12"/>
      <c r="C122" s="340" t="s">
        <v>13</v>
      </c>
      <c r="D122" s="340"/>
      <c r="E122" s="11" t="s">
        <v>12</v>
      </c>
    </row>
    <row r="123" spans="2:5" ht="12.75">
      <c r="B123" s="10" t="s">
        <v>11</v>
      </c>
      <c r="C123" s="341" t="s">
        <v>10</v>
      </c>
      <c r="D123" s="341"/>
      <c r="E123" s="9">
        <f>E37</f>
        <v>1775.88</v>
      </c>
    </row>
    <row r="124" spans="2:5" ht="12.75">
      <c r="B124" s="10" t="s">
        <v>9</v>
      </c>
      <c r="C124" s="341" t="s">
        <v>8</v>
      </c>
      <c r="D124" s="341"/>
      <c r="E124" s="9">
        <f>E45</f>
        <v>617.43</v>
      </c>
    </row>
    <row r="125" spans="1:10" s="5" customFormat="1" ht="12.75">
      <c r="A125" s="1"/>
      <c r="B125" s="10" t="s">
        <v>7</v>
      </c>
      <c r="C125" s="341" t="s">
        <v>6</v>
      </c>
      <c r="D125" s="341"/>
      <c r="E125" s="9">
        <f>E52</f>
        <v>44.02</v>
      </c>
      <c r="F125" s="2"/>
      <c r="G125" s="1"/>
      <c r="H125" s="1"/>
      <c r="I125" s="1"/>
      <c r="J125" s="1"/>
    </row>
    <row r="126" spans="1:10" s="5" customFormat="1" ht="12.75">
      <c r="A126" s="1"/>
      <c r="B126" s="10" t="s">
        <v>5</v>
      </c>
      <c r="C126" s="341" t="s">
        <v>4</v>
      </c>
      <c r="D126" s="341"/>
      <c r="E126" s="9">
        <f>E109</f>
        <v>1480.0099999999998</v>
      </c>
      <c r="F126" s="2"/>
      <c r="G126" s="1"/>
      <c r="H126" s="1"/>
      <c r="I126" s="1"/>
      <c r="J126" s="1"/>
    </row>
    <row r="127" spans="1:10" s="5" customFormat="1" ht="12.75">
      <c r="A127" s="1"/>
      <c r="B127" s="342" t="s">
        <v>3</v>
      </c>
      <c r="C127" s="343"/>
      <c r="D127" s="344"/>
      <c r="E127" s="8">
        <f>SUM(E123:E126)</f>
        <v>3917.3399999999997</v>
      </c>
      <c r="F127" s="2"/>
      <c r="G127" s="1"/>
      <c r="H127" s="1"/>
      <c r="I127" s="1"/>
      <c r="J127" s="1"/>
    </row>
    <row r="128" spans="1:10" s="5" customFormat="1" ht="13.5" thickBot="1">
      <c r="A128" s="1"/>
      <c r="B128" s="7" t="s">
        <v>2</v>
      </c>
      <c r="C128" s="335" t="s">
        <v>1</v>
      </c>
      <c r="D128" s="336"/>
      <c r="E128" s="6">
        <f>E118</f>
        <v>765.879942857143</v>
      </c>
      <c r="F128" s="2"/>
      <c r="G128" s="1"/>
      <c r="H128" s="1"/>
      <c r="I128" s="1"/>
      <c r="J128" s="1"/>
    </row>
    <row r="129" spans="2:5" ht="23.25" customHeight="1" thickBot="1">
      <c r="B129" s="337" t="s">
        <v>0</v>
      </c>
      <c r="C129" s="338"/>
      <c r="D129" s="339"/>
      <c r="E129" s="4">
        <f>ROUND(E127+E128,2)</f>
        <v>4683.22</v>
      </c>
    </row>
    <row r="134" ht="12.75">
      <c r="E134" s="3"/>
    </row>
    <row r="138" ht="24" customHeight="1"/>
  </sheetData>
  <sheetProtection/>
  <mergeCells count="54">
    <mergeCell ref="C124:D124"/>
    <mergeCell ref="C125:D125"/>
    <mergeCell ref="C126:D126"/>
    <mergeCell ref="B127:D127"/>
    <mergeCell ref="C128:D128"/>
    <mergeCell ref="B129:D129"/>
    <mergeCell ref="B100:C100"/>
    <mergeCell ref="B109:C109"/>
    <mergeCell ref="B118:C118"/>
    <mergeCell ref="B120:E120"/>
    <mergeCell ref="C122:D122"/>
    <mergeCell ref="C123:D123"/>
    <mergeCell ref="B66:C66"/>
    <mergeCell ref="B71:C71"/>
    <mergeCell ref="B73:C73"/>
    <mergeCell ref="B79:C79"/>
    <mergeCell ref="B89:C89"/>
    <mergeCell ref="B98:C98"/>
    <mergeCell ref="C45:D45"/>
    <mergeCell ref="C48:D48"/>
    <mergeCell ref="C49:D49"/>
    <mergeCell ref="C50:D50"/>
    <mergeCell ref="C51:D51"/>
    <mergeCell ref="C52:D52"/>
    <mergeCell ref="C37:D37"/>
    <mergeCell ref="C40:D40"/>
    <mergeCell ref="C41:D41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C23:D23"/>
    <mergeCell ref="C24:D24"/>
    <mergeCell ref="C25:D25"/>
    <mergeCell ref="C28:D28"/>
    <mergeCell ref="C29:D29"/>
    <mergeCell ref="C30:D30"/>
    <mergeCell ref="C10:D10"/>
    <mergeCell ref="C11:D11"/>
    <mergeCell ref="B14:C14"/>
    <mergeCell ref="B18:E18"/>
    <mergeCell ref="B21:E21"/>
    <mergeCell ref="C22:D22"/>
    <mergeCell ref="B2:E2"/>
    <mergeCell ref="B3:E3"/>
    <mergeCell ref="D4:E4"/>
    <mergeCell ref="D5:E5"/>
    <mergeCell ref="C8:D8"/>
    <mergeCell ref="C9:D9"/>
  </mergeCells>
  <printOptions horizontalCentered="1"/>
  <pageMargins left="0.7874015748031497" right="0.3937007874015748" top="1.1811023622047245" bottom="0.7874015748031497" header="0.3937007874015748" footer="0.3937007874015748"/>
  <pageSetup fitToHeight="2" horizontalDpi="600" verticalDpi="600" orientation="portrait" paperSize="9" scale="76" r:id="rId1"/>
  <rowBreaks count="1" manualBreakCount="1">
    <brk id="66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L40"/>
  <sheetViews>
    <sheetView view="pageBreakPreview" zoomScaleNormal="85" zoomScaleSheetLayoutView="100" workbookViewId="0" topLeftCell="A1">
      <selection activeCell="G7" sqref="G7"/>
    </sheetView>
  </sheetViews>
  <sheetFormatPr defaultColWidth="9.140625" defaultRowHeight="15"/>
  <cols>
    <col min="1" max="1" width="3.140625" style="1" customWidth="1"/>
    <col min="2" max="2" width="18.421875" style="1" customWidth="1"/>
    <col min="3" max="3" width="21.00390625" style="1" customWidth="1"/>
    <col min="4" max="4" width="16.7109375" style="1" customWidth="1"/>
    <col min="5" max="5" width="17.28125" style="1" customWidth="1"/>
    <col min="6" max="6" width="17.7109375" style="1" customWidth="1"/>
    <col min="7" max="7" width="14.57421875" style="1" customWidth="1"/>
    <col min="8" max="8" width="15.00390625" style="1" customWidth="1"/>
    <col min="9" max="9" width="10.8515625" style="2" customWidth="1"/>
    <col min="10" max="10" width="13.8515625" style="2" customWidth="1"/>
    <col min="11" max="11" width="13.57421875" style="1" customWidth="1"/>
    <col min="12" max="12" width="12.00390625" style="1" bestFit="1" customWidth="1"/>
    <col min="13" max="16384" width="9.140625" style="1" customWidth="1"/>
  </cols>
  <sheetData>
    <row r="1" ht="13.5" thickBot="1"/>
    <row r="2" spans="2:8" ht="23.25" customHeight="1" thickBot="1">
      <c r="B2" s="382" t="s">
        <v>312</v>
      </c>
      <c r="C2" s="383"/>
      <c r="D2" s="383"/>
      <c r="E2" s="383"/>
      <c r="F2" s="383"/>
      <c r="G2" s="383"/>
      <c r="H2" s="384"/>
    </row>
    <row r="3" spans="2:8" ht="12.75">
      <c r="B3" s="172"/>
      <c r="C3" s="172"/>
      <c r="D3" s="172"/>
      <c r="E3" s="172"/>
      <c r="F3" s="172"/>
      <c r="G3" s="172"/>
      <c r="H3" s="172"/>
    </row>
    <row r="4" spans="2:8" ht="12.75">
      <c r="B4" s="264" t="s">
        <v>233</v>
      </c>
      <c r="C4" s="86"/>
      <c r="D4" s="86"/>
      <c r="E4" s="86"/>
      <c r="F4" s="86"/>
      <c r="G4" s="86"/>
      <c r="H4" s="86"/>
    </row>
    <row r="5" spans="2:8" ht="12.75">
      <c r="B5" s="264"/>
      <c r="C5" s="86"/>
      <c r="D5" s="86"/>
      <c r="E5" s="86"/>
      <c r="F5" s="86"/>
      <c r="G5" s="86"/>
      <c r="H5" s="86"/>
    </row>
    <row r="6" spans="1:12" s="2" customFormat="1" ht="13.5" thickBot="1">
      <c r="A6" s="1"/>
      <c r="B6" s="264" t="s">
        <v>234</v>
      </c>
      <c r="C6" s="86"/>
      <c r="D6" s="86"/>
      <c r="E6" s="86"/>
      <c r="F6" s="86"/>
      <c r="G6" s="86"/>
      <c r="H6" s="86"/>
      <c r="K6" s="1"/>
      <c r="L6" s="1"/>
    </row>
    <row r="7" spans="1:12" s="2" customFormat="1" ht="39" thickBot="1">
      <c r="A7" s="1"/>
      <c r="B7" s="173" t="s">
        <v>235</v>
      </c>
      <c r="C7" s="174" t="s">
        <v>236</v>
      </c>
      <c r="D7" s="174" t="s">
        <v>330</v>
      </c>
      <c r="E7" s="175" t="s">
        <v>237</v>
      </c>
      <c r="F7" s="86"/>
      <c r="G7" s="86"/>
      <c r="H7" s="86"/>
      <c r="K7" s="1"/>
      <c r="L7" s="1"/>
    </row>
    <row r="8" spans="1:12" s="2" customFormat="1" ht="15" customHeight="1">
      <c r="A8" s="1"/>
      <c r="B8" s="176" t="s">
        <v>226</v>
      </c>
      <c r="C8" s="177" t="str">
        <f>"1/(30 x "&amp;I8&amp;")"</f>
        <v>1/(30 x 571)</v>
      </c>
      <c r="D8" s="178"/>
      <c r="E8" s="179">
        <f>ROUND((1/(30*I8))*D8,2)</f>
        <v>0</v>
      </c>
      <c r="F8" s="86"/>
      <c r="G8" s="86"/>
      <c r="H8" s="86"/>
      <c r="I8" s="111">
        <v>571</v>
      </c>
      <c r="K8" s="1"/>
      <c r="L8" s="1"/>
    </row>
    <row r="9" spans="1:12" s="2" customFormat="1" ht="15" customHeight="1" thickBot="1">
      <c r="A9" s="1"/>
      <c r="B9" s="180" t="s">
        <v>238</v>
      </c>
      <c r="C9" s="181" t="str">
        <f>"1/"&amp;I8</f>
        <v>1/571</v>
      </c>
      <c r="D9" s="182">
        <f>'(1)'!$E$129</f>
        <v>5497.3</v>
      </c>
      <c r="E9" s="183">
        <f>ROUND(D9*(1/I8),2)</f>
        <v>9.63</v>
      </c>
      <c r="F9" s="86"/>
      <c r="G9" s="86"/>
      <c r="H9" s="86"/>
      <c r="I9" s="111"/>
      <c r="K9" s="1"/>
      <c r="L9" s="1"/>
    </row>
    <row r="10" spans="1:12" s="2" customFormat="1" ht="15" customHeight="1" thickBot="1">
      <c r="A10" s="1"/>
      <c r="B10" s="385" t="s">
        <v>15</v>
      </c>
      <c r="C10" s="385"/>
      <c r="D10" s="385"/>
      <c r="E10" s="185">
        <f>SUM(E8:E9)</f>
        <v>9.63</v>
      </c>
      <c r="F10" s="86"/>
      <c r="G10" s="86"/>
      <c r="H10" s="86"/>
      <c r="I10" s="111"/>
      <c r="K10" s="1"/>
      <c r="L10" s="1"/>
    </row>
    <row r="11" spans="1:12" s="2" customFormat="1" ht="15" customHeight="1">
      <c r="A11" s="1"/>
      <c r="B11" s="184"/>
      <c r="C11" s="184"/>
      <c r="D11" s="184"/>
      <c r="E11" s="186"/>
      <c r="F11" s="86"/>
      <c r="G11" s="86"/>
      <c r="H11" s="86"/>
      <c r="I11" s="111"/>
      <c r="K11" s="1"/>
      <c r="L11" s="1"/>
    </row>
    <row r="12" spans="1:12" s="2" customFormat="1" ht="13.5" thickBot="1">
      <c r="A12" s="1"/>
      <c r="B12" s="264" t="s">
        <v>239</v>
      </c>
      <c r="C12" s="86"/>
      <c r="D12" s="86"/>
      <c r="E12" s="86"/>
      <c r="F12" s="86"/>
      <c r="G12" s="86"/>
      <c r="H12" s="86"/>
      <c r="K12" s="1"/>
      <c r="L12" s="1"/>
    </row>
    <row r="13" spans="1:12" s="2" customFormat="1" ht="39" thickBot="1">
      <c r="A13" s="1"/>
      <c r="B13" s="173" t="s">
        <v>235</v>
      </c>
      <c r="C13" s="174" t="s">
        <v>236</v>
      </c>
      <c r="D13" s="174" t="s">
        <v>330</v>
      </c>
      <c r="E13" s="175" t="s">
        <v>237</v>
      </c>
      <c r="F13" s="86"/>
      <c r="G13" s="86"/>
      <c r="H13" s="86"/>
      <c r="K13" s="1"/>
      <c r="L13" s="1"/>
    </row>
    <row r="14" spans="1:12" s="2" customFormat="1" ht="15" customHeight="1">
      <c r="A14" s="1"/>
      <c r="B14" s="176" t="s">
        <v>226</v>
      </c>
      <c r="C14" s="177" t="str">
        <f>"1/(30 x "&amp;I14&amp;")"</f>
        <v>1/(30 x 1142)</v>
      </c>
      <c r="D14" s="178"/>
      <c r="E14" s="179">
        <f>ROUND((1/(30*I14))*D14,2)</f>
        <v>0</v>
      </c>
      <c r="F14" s="86"/>
      <c r="G14" s="86"/>
      <c r="H14" s="86"/>
      <c r="I14" s="111">
        <f>I8*2</f>
        <v>1142</v>
      </c>
      <c r="K14" s="1"/>
      <c r="L14" s="1"/>
    </row>
    <row r="15" spans="1:12" s="2" customFormat="1" ht="15" customHeight="1" thickBot="1">
      <c r="A15" s="1"/>
      <c r="B15" s="180" t="s">
        <v>238</v>
      </c>
      <c r="C15" s="181" t="str">
        <f>"1/"&amp;I14</f>
        <v>1/1142</v>
      </c>
      <c r="D15" s="182">
        <f>'(1)'!$E$129</f>
        <v>5497.3</v>
      </c>
      <c r="E15" s="183">
        <f>ROUND(D15*(1/I14),2)</f>
        <v>4.81</v>
      </c>
      <c r="F15" s="86"/>
      <c r="G15" s="86"/>
      <c r="H15" s="86"/>
      <c r="I15" s="111"/>
      <c r="K15" s="1"/>
      <c r="L15" s="1"/>
    </row>
    <row r="16" spans="2:9" ht="15" customHeight="1" thickBot="1">
      <c r="B16" s="385" t="s">
        <v>15</v>
      </c>
      <c r="C16" s="385"/>
      <c r="D16" s="385"/>
      <c r="E16" s="185">
        <f>SUM(E14:E15)</f>
        <v>4.81</v>
      </c>
      <c r="F16" s="86"/>
      <c r="G16" s="86"/>
      <c r="H16" s="86"/>
      <c r="I16" s="111"/>
    </row>
    <row r="17" spans="2:11" ht="12.75">
      <c r="B17" s="184"/>
      <c r="C17" s="184"/>
      <c r="D17" s="184"/>
      <c r="E17" s="184"/>
      <c r="F17" s="184"/>
      <c r="G17" s="184"/>
      <c r="H17" s="186"/>
      <c r="K17" s="110"/>
    </row>
    <row r="18" spans="2:11" ht="13.5" thickBot="1">
      <c r="B18" s="264" t="s">
        <v>240</v>
      </c>
      <c r="C18" s="86"/>
      <c r="D18" s="86"/>
      <c r="E18" s="86"/>
      <c r="F18" s="86"/>
      <c r="G18" s="86"/>
      <c r="H18" s="86"/>
      <c r="I18" s="111"/>
      <c r="K18" s="110"/>
    </row>
    <row r="19" spans="2:11" ht="64.5" thickBot="1">
      <c r="B19" s="187" t="s">
        <v>235</v>
      </c>
      <c r="C19" s="188" t="s">
        <v>236</v>
      </c>
      <c r="D19" s="188" t="s">
        <v>241</v>
      </c>
      <c r="E19" s="188" t="s">
        <v>242</v>
      </c>
      <c r="F19" s="188" t="s">
        <v>243</v>
      </c>
      <c r="G19" s="188" t="s">
        <v>244</v>
      </c>
      <c r="H19" s="189" t="s">
        <v>245</v>
      </c>
      <c r="I19" s="111"/>
      <c r="K19" s="110"/>
    </row>
    <row r="20" spans="2:9" ht="15" customHeight="1">
      <c r="B20" s="190" t="s">
        <v>226</v>
      </c>
      <c r="C20" s="191" t="str">
        <f>"1/(30 x "&amp;I20&amp;")"</f>
        <v>1/(30 x 220)</v>
      </c>
      <c r="D20" s="191">
        <v>16</v>
      </c>
      <c r="E20" s="191" t="s">
        <v>246</v>
      </c>
      <c r="F20" s="192">
        <f>ROUND((1/(30*I20))*(D20)*(1/191.4),7)</f>
        <v>1.27E-05</v>
      </c>
      <c r="G20" s="178"/>
      <c r="H20" s="193">
        <f>ROUND(F20*G20,2)</f>
        <v>0</v>
      </c>
      <c r="I20" s="111">
        <v>220</v>
      </c>
    </row>
    <row r="21" spans="2:11" ht="15" customHeight="1" thickBot="1">
      <c r="B21" s="180" t="s">
        <v>238</v>
      </c>
      <c r="C21" s="181" t="str">
        <f>"1/"&amp;I20</f>
        <v>1/220</v>
      </c>
      <c r="D21" s="181">
        <v>16</v>
      </c>
      <c r="E21" s="181" t="s">
        <v>246</v>
      </c>
      <c r="F21" s="194">
        <f>ROUND((1/(I20))*(D21)*(1/191.4),7)</f>
        <v>0.00038</v>
      </c>
      <c r="G21" s="182">
        <f>'(3)'!E129</f>
        <v>3925.25</v>
      </c>
      <c r="H21" s="183">
        <f>ROUND(F21*G21,2)</f>
        <v>1.49</v>
      </c>
      <c r="I21" s="111"/>
      <c r="K21" s="110"/>
    </row>
    <row r="22" spans="2:11" ht="15" customHeight="1" thickBot="1">
      <c r="B22" s="385" t="s">
        <v>15</v>
      </c>
      <c r="C22" s="385"/>
      <c r="D22" s="385"/>
      <c r="E22" s="385"/>
      <c r="F22" s="385"/>
      <c r="G22" s="386"/>
      <c r="H22" s="185">
        <f>SUM(H20:H21)</f>
        <v>1.49</v>
      </c>
      <c r="I22" s="111"/>
      <c r="K22" s="110"/>
    </row>
    <row r="23" spans="2:8" ht="12.75">
      <c r="B23" s="86"/>
      <c r="C23" s="86"/>
      <c r="D23" s="86"/>
      <c r="E23" s="86"/>
      <c r="F23" s="86"/>
      <c r="G23" s="86"/>
      <c r="H23" s="86"/>
    </row>
    <row r="24" spans="2:8" ht="12.75">
      <c r="B24" s="86"/>
      <c r="C24" s="86"/>
      <c r="D24" s="86"/>
      <c r="E24" s="86"/>
      <c r="F24" s="86"/>
      <c r="G24" s="86"/>
      <c r="H24" s="86"/>
    </row>
    <row r="25" spans="2:8" ht="12.75">
      <c r="B25" s="264" t="s">
        <v>247</v>
      </c>
      <c r="C25" s="86"/>
      <c r="D25" s="86"/>
      <c r="E25" s="86"/>
      <c r="F25" s="86"/>
      <c r="G25" s="86"/>
      <c r="H25" s="86"/>
    </row>
    <row r="26" spans="2:11" ht="13.5" thickBot="1">
      <c r="B26" s="264"/>
      <c r="C26" s="86"/>
      <c r="D26" s="86"/>
      <c r="E26" s="86"/>
      <c r="F26" s="86"/>
      <c r="G26" s="86"/>
      <c r="H26" s="86"/>
      <c r="I26" s="377"/>
      <c r="J26" s="377"/>
      <c r="K26" s="110"/>
    </row>
    <row r="27" spans="2:11" ht="53.25" customHeight="1" thickBot="1">
      <c r="B27" s="260" t="s">
        <v>248</v>
      </c>
      <c r="C27" s="188" t="s">
        <v>249</v>
      </c>
      <c r="D27" s="188" t="s">
        <v>250</v>
      </c>
      <c r="E27" s="188" t="s">
        <v>251</v>
      </c>
      <c r="F27" s="189" t="s">
        <v>252</v>
      </c>
      <c r="G27" s="195"/>
      <c r="H27" s="122"/>
      <c r="I27" s="196" t="s">
        <v>253</v>
      </c>
      <c r="J27" s="196"/>
      <c r="K27" s="110"/>
    </row>
    <row r="28" spans="2:11" ht="19.5" customHeight="1">
      <c r="B28" s="378" t="s">
        <v>331</v>
      </c>
      <c r="C28" s="197" t="s">
        <v>234</v>
      </c>
      <c r="D28" s="198">
        <f>E10</f>
        <v>9.63</v>
      </c>
      <c r="E28" s="199">
        <v>2033.56</v>
      </c>
      <c r="F28" s="200">
        <f>ROUND(E28*D28,2)</f>
        <v>19583.18</v>
      </c>
      <c r="G28" s="201"/>
      <c r="H28" s="265"/>
      <c r="I28" s="202">
        <f>E28/$I$8</f>
        <v>3.561401050788091</v>
      </c>
      <c r="J28" s="202"/>
      <c r="K28" s="3"/>
    </row>
    <row r="29" spans="2:11" ht="19.5" customHeight="1">
      <c r="B29" s="379"/>
      <c r="C29" s="170" t="s">
        <v>239</v>
      </c>
      <c r="D29" s="203">
        <f>E16</f>
        <v>4.81</v>
      </c>
      <c r="E29" s="204">
        <v>1498.18</v>
      </c>
      <c r="F29" s="205">
        <f>ROUND(E29*D29,2)</f>
        <v>7206.25</v>
      </c>
      <c r="G29" s="201"/>
      <c r="H29" s="265"/>
      <c r="I29" s="202">
        <f>E29/$I$14</f>
        <v>1.311891418563923</v>
      </c>
      <c r="J29" s="202"/>
      <c r="K29" s="3"/>
    </row>
    <row r="30" spans="2:11" ht="30" customHeight="1" thickBot="1">
      <c r="B30" s="379"/>
      <c r="C30" s="170" t="s">
        <v>240</v>
      </c>
      <c r="D30" s="203">
        <f>H22</f>
        <v>1.49</v>
      </c>
      <c r="E30" s="204">
        <v>344.3</v>
      </c>
      <c r="F30" s="205">
        <f>ROUND(E30*D30,2)</f>
        <v>513.01</v>
      </c>
      <c r="G30" s="201"/>
      <c r="H30" s="265"/>
      <c r="I30" s="202">
        <f>((E30/$I$20)*(16/191.4))</f>
        <v>0.1308254963427377</v>
      </c>
      <c r="J30" s="202"/>
      <c r="K30" s="3"/>
    </row>
    <row r="31" spans="2:12" ht="27.75" customHeight="1" thickBot="1">
      <c r="B31" s="380" t="s">
        <v>254</v>
      </c>
      <c r="C31" s="381"/>
      <c r="D31" s="381"/>
      <c r="E31" s="381"/>
      <c r="F31" s="206">
        <f>ROUND(SUM(F28:F30),2)</f>
        <v>27302.44</v>
      </c>
      <c r="G31" s="207"/>
      <c r="H31" s="266"/>
      <c r="I31" s="208">
        <f>SUM(I28:I30)</f>
        <v>5.004117965694752</v>
      </c>
      <c r="J31" s="208"/>
      <c r="K31" s="209"/>
      <c r="L31" s="209"/>
    </row>
    <row r="36" ht="12.75">
      <c r="G36" s="210"/>
    </row>
    <row r="37" ht="12.75">
      <c r="G37" s="210"/>
    </row>
    <row r="38" ht="12.75">
      <c r="G38" s="210"/>
    </row>
    <row r="39" ht="12.75">
      <c r="G39" s="211"/>
    </row>
    <row r="40" ht="12.75">
      <c r="G40" s="3"/>
    </row>
  </sheetData>
  <sheetProtection/>
  <mergeCells count="7">
    <mergeCell ref="I26:J26"/>
    <mergeCell ref="B28:B30"/>
    <mergeCell ref="B31:E31"/>
    <mergeCell ref="B2:H2"/>
    <mergeCell ref="B10:D10"/>
    <mergeCell ref="B16:D16"/>
    <mergeCell ref="B22:G22"/>
  </mergeCells>
  <printOptions horizontalCentered="1"/>
  <pageMargins left="0.3937007874015748" right="0.3937007874015748" top="1.5748031496062993" bottom="0.7874015748031497" header="0.3937007874015748" footer="0.3937007874015748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41"/>
  <sheetViews>
    <sheetView view="pageBreakPreview" zoomScaleSheetLayoutView="100" zoomScalePageLayoutView="70" workbookViewId="0" topLeftCell="A31">
      <selection activeCell="B39" sqref="B39:G39"/>
    </sheetView>
  </sheetViews>
  <sheetFormatPr defaultColWidth="9.140625" defaultRowHeight="15"/>
  <cols>
    <col min="1" max="2" width="9.140625" style="214" customWidth="1"/>
    <col min="3" max="3" width="48.57421875" style="214" customWidth="1"/>
    <col min="4" max="4" width="14.421875" style="234" customWidth="1"/>
    <col min="5" max="5" width="16.140625" style="234" bestFit="1" customWidth="1"/>
    <col min="6" max="6" width="11.421875" style="234" customWidth="1"/>
    <col min="7" max="8" width="9.140625" style="234" customWidth="1"/>
    <col min="9" max="16384" width="9.140625" style="214" customWidth="1"/>
  </cols>
  <sheetData>
    <row r="1" ht="17.25" thickBot="1"/>
    <row r="2" spans="2:8" ht="21.75" customHeight="1" thickBot="1">
      <c r="B2" s="391" t="s">
        <v>294</v>
      </c>
      <c r="C2" s="392"/>
      <c r="D2" s="392"/>
      <c r="E2" s="392"/>
      <c r="F2" s="392"/>
      <c r="G2" s="392"/>
      <c r="H2" s="393"/>
    </row>
    <row r="3" spans="2:8" ht="16.5" customHeight="1" thickBot="1">
      <c r="B3" s="251"/>
      <c r="C3" s="252"/>
      <c r="D3" s="252"/>
      <c r="E3" s="252"/>
      <c r="F3" s="252"/>
      <c r="G3" s="252"/>
      <c r="H3" s="253"/>
    </row>
    <row r="4" spans="2:8" s="217" customFormat="1" ht="33">
      <c r="B4" s="389" t="s">
        <v>259</v>
      </c>
      <c r="C4" s="390"/>
      <c r="D4" s="241" t="s">
        <v>260</v>
      </c>
      <c r="E4" s="242" t="s">
        <v>261</v>
      </c>
      <c r="F4" s="242" t="s">
        <v>262</v>
      </c>
      <c r="G4" s="242" t="s">
        <v>283</v>
      </c>
      <c r="H4" s="243" t="s">
        <v>284</v>
      </c>
    </row>
    <row r="5" spans="2:8" s="218" customFormat="1" ht="16.5">
      <c r="B5" s="244">
        <v>1</v>
      </c>
      <c r="C5" s="270" t="s">
        <v>333</v>
      </c>
      <c r="D5" s="271" t="s">
        <v>363</v>
      </c>
      <c r="E5" s="271" t="s">
        <v>264</v>
      </c>
      <c r="F5" s="271">
        <v>20</v>
      </c>
      <c r="G5" s="235">
        <v>4.35</v>
      </c>
      <c r="H5" s="245">
        <f>F5*G5</f>
        <v>87</v>
      </c>
    </row>
    <row r="6" spans="2:8" s="218" customFormat="1" ht="16.5">
      <c r="B6" s="244">
        <v>2</v>
      </c>
      <c r="C6" s="270" t="s">
        <v>334</v>
      </c>
      <c r="D6" s="271" t="s">
        <v>363</v>
      </c>
      <c r="E6" s="271" t="s">
        <v>264</v>
      </c>
      <c r="F6" s="271">
        <v>5</v>
      </c>
      <c r="G6" s="235">
        <v>9.45</v>
      </c>
      <c r="H6" s="245">
        <f aca="true" t="shared" si="0" ref="H6:H27">F6*G6</f>
        <v>47.25</v>
      </c>
    </row>
    <row r="7" spans="2:8" s="218" customFormat="1" ht="25.5">
      <c r="B7" s="244">
        <v>3</v>
      </c>
      <c r="C7" s="270" t="s">
        <v>271</v>
      </c>
      <c r="D7" s="271" t="s">
        <v>364</v>
      </c>
      <c r="E7" s="271" t="s">
        <v>265</v>
      </c>
      <c r="F7" s="271">
        <v>7</v>
      </c>
      <c r="G7" s="235">
        <v>22.21</v>
      </c>
      <c r="H7" s="245">
        <f>ROUND((F7*G7)/4,2)</f>
        <v>38.87</v>
      </c>
    </row>
    <row r="8" spans="2:8" s="218" customFormat="1" ht="25.5">
      <c r="B8" s="244">
        <v>4</v>
      </c>
      <c r="C8" s="270" t="s">
        <v>335</v>
      </c>
      <c r="D8" s="271" t="s">
        <v>263</v>
      </c>
      <c r="E8" s="271" t="s">
        <v>365</v>
      </c>
      <c r="F8" s="271">
        <v>8</v>
      </c>
      <c r="G8" s="235">
        <v>28.34</v>
      </c>
      <c r="H8" s="245">
        <f t="shared" si="0"/>
        <v>226.72</v>
      </c>
    </row>
    <row r="9" spans="2:8" s="218" customFormat="1" ht="38.25">
      <c r="B9" s="244">
        <v>5</v>
      </c>
      <c r="C9" s="270" t="s">
        <v>336</v>
      </c>
      <c r="D9" s="271" t="s">
        <v>263</v>
      </c>
      <c r="E9" s="271" t="s">
        <v>366</v>
      </c>
      <c r="F9" s="271">
        <v>6</v>
      </c>
      <c r="G9" s="235">
        <v>11.73</v>
      </c>
      <c r="H9" s="245">
        <f t="shared" si="0"/>
        <v>70.38</v>
      </c>
    </row>
    <row r="10" spans="2:8" s="218" customFormat="1" ht="38.25">
      <c r="B10" s="244">
        <v>6</v>
      </c>
      <c r="C10" s="270" t="s">
        <v>337</v>
      </c>
      <c r="D10" s="271" t="s">
        <v>363</v>
      </c>
      <c r="E10" s="272" t="s">
        <v>365</v>
      </c>
      <c r="F10" s="271">
        <v>5</v>
      </c>
      <c r="G10" s="235">
        <v>43.47</v>
      </c>
      <c r="H10" s="245">
        <f t="shared" si="0"/>
        <v>217.35</v>
      </c>
    </row>
    <row r="11" spans="2:8" s="218" customFormat="1" ht="25.5">
      <c r="B11" s="244">
        <v>7</v>
      </c>
      <c r="C11" s="270" t="s">
        <v>338</v>
      </c>
      <c r="D11" s="271" t="s">
        <v>263</v>
      </c>
      <c r="E11" s="272" t="s">
        <v>365</v>
      </c>
      <c r="F11" s="271">
        <v>1</v>
      </c>
      <c r="G11" s="235">
        <v>28.08</v>
      </c>
      <c r="H11" s="245">
        <f t="shared" si="0"/>
        <v>28.08</v>
      </c>
    </row>
    <row r="12" spans="2:8" s="218" customFormat="1" ht="16.5">
      <c r="B12" s="244">
        <v>8</v>
      </c>
      <c r="C12" s="270" t="s">
        <v>339</v>
      </c>
      <c r="D12" s="271" t="s">
        <v>363</v>
      </c>
      <c r="E12" s="271" t="s">
        <v>265</v>
      </c>
      <c r="F12" s="271">
        <v>4</v>
      </c>
      <c r="G12" s="235">
        <v>6.49</v>
      </c>
      <c r="H12" s="245">
        <f t="shared" si="0"/>
        <v>25.96</v>
      </c>
    </row>
    <row r="13" spans="2:8" s="218" customFormat="1" ht="16.5">
      <c r="B13" s="244">
        <v>9</v>
      </c>
      <c r="C13" s="270" t="s">
        <v>340</v>
      </c>
      <c r="D13" s="271" t="s">
        <v>363</v>
      </c>
      <c r="E13" s="271" t="s">
        <v>265</v>
      </c>
      <c r="F13" s="271">
        <v>4</v>
      </c>
      <c r="G13" s="235">
        <v>40.99</v>
      </c>
      <c r="H13" s="245">
        <f t="shared" si="0"/>
        <v>163.96</v>
      </c>
    </row>
    <row r="14" spans="2:8" s="218" customFormat="1" ht="16.5">
      <c r="B14" s="244">
        <v>10</v>
      </c>
      <c r="C14" s="270" t="s">
        <v>273</v>
      </c>
      <c r="D14" s="271" t="s">
        <v>363</v>
      </c>
      <c r="E14" s="271" t="s">
        <v>265</v>
      </c>
      <c r="F14" s="271">
        <v>4</v>
      </c>
      <c r="G14" s="235">
        <v>100.21</v>
      </c>
      <c r="H14" s="245">
        <f t="shared" si="0"/>
        <v>400.84</v>
      </c>
    </row>
    <row r="15" spans="2:8" s="218" customFormat="1" ht="16.5">
      <c r="B15" s="244">
        <v>11</v>
      </c>
      <c r="C15" s="270" t="s">
        <v>341</v>
      </c>
      <c r="D15" s="271" t="s">
        <v>363</v>
      </c>
      <c r="E15" s="271" t="s">
        <v>265</v>
      </c>
      <c r="F15" s="271">
        <v>5</v>
      </c>
      <c r="G15" s="235">
        <v>8.15</v>
      </c>
      <c r="H15" s="245">
        <f t="shared" si="0"/>
        <v>40.75</v>
      </c>
    </row>
    <row r="16" spans="2:8" s="218" customFormat="1" ht="25.5">
      <c r="B16" s="244">
        <v>12</v>
      </c>
      <c r="C16" s="270" t="s">
        <v>342</v>
      </c>
      <c r="D16" s="271" t="s">
        <v>363</v>
      </c>
      <c r="E16" s="271" t="s">
        <v>265</v>
      </c>
      <c r="F16" s="271">
        <v>5</v>
      </c>
      <c r="G16" s="235">
        <v>6.64</v>
      </c>
      <c r="H16" s="245">
        <f t="shared" si="0"/>
        <v>33.199999999999996</v>
      </c>
    </row>
    <row r="17" spans="2:8" s="218" customFormat="1" ht="16.5">
      <c r="B17" s="244">
        <v>13</v>
      </c>
      <c r="C17" s="270" t="s">
        <v>343</v>
      </c>
      <c r="D17" s="271" t="s">
        <v>363</v>
      </c>
      <c r="E17" s="271" t="s">
        <v>365</v>
      </c>
      <c r="F17" s="271">
        <v>1</v>
      </c>
      <c r="G17" s="235">
        <v>190.96</v>
      </c>
      <c r="H17" s="245">
        <f t="shared" si="0"/>
        <v>190.96</v>
      </c>
    </row>
    <row r="18" spans="2:8" s="218" customFormat="1" ht="16.5">
      <c r="B18" s="244">
        <v>14</v>
      </c>
      <c r="C18" s="270" t="s">
        <v>344</v>
      </c>
      <c r="D18" s="271" t="s">
        <v>363</v>
      </c>
      <c r="E18" s="271" t="s">
        <v>367</v>
      </c>
      <c r="F18" s="271">
        <v>2</v>
      </c>
      <c r="G18" s="235">
        <v>2.31</v>
      </c>
      <c r="H18" s="245">
        <f t="shared" si="0"/>
        <v>4.62</v>
      </c>
    </row>
    <row r="19" spans="2:8" s="218" customFormat="1" ht="16.5">
      <c r="B19" s="244">
        <v>15</v>
      </c>
      <c r="C19" s="270" t="s">
        <v>345</v>
      </c>
      <c r="D19" s="271" t="s">
        <v>363</v>
      </c>
      <c r="E19" s="271" t="s">
        <v>365</v>
      </c>
      <c r="F19" s="271">
        <v>2</v>
      </c>
      <c r="G19" s="235">
        <v>84.57</v>
      </c>
      <c r="H19" s="245">
        <f t="shared" si="0"/>
        <v>169.14</v>
      </c>
    </row>
    <row r="20" spans="2:8" s="218" customFormat="1" ht="16.5">
      <c r="B20" s="244">
        <v>16</v>
      </c>
      <c r="C20" s="270" t="s">
        <v>346</v>
      </c>
      <c r="D20" s="271" t="s">
        <v>363</v>
      </c>
      <c r="E20" s="271" t="s">
        <v>365</v>
      </c>
      <c r="F20" s="271">
        <v>4</v>
      </c>
      <c r="G20" s="235">
        <v>61.68</v>
      </c>
      <c r="H20" s="245">
        <f t="shared" si="0"/>
        <v>246.72</v>
      </c>
    </row>
    <row r="21" spans="2:8" s="218" customFormat="1" ht="25.5">
      <c r="B21" s="244">
        <v>17</v>
      </c>
      <c r="C21" s="270" t="s">
        <v>266</v>
      </c>
      <c r="D21" s="271" t="s">
        <v>363</v>
      </c>
      <c r="E21" s="271" t="s">
        <v>267</v>
      </c>
      <c r="F21" s="271">
        <v>3</v>
      </c>
      <c r="G21" s="235">
        <v>9.93</v>
      </c>
      <c r="H21" s="245">
        <f t="shared" si="0"/>
        <v>29.79</v>
      </c>
    </row>
    <row r="22" spans="2:8" s="218" customFormat="1" ht="16.5">
      <c r="B22" s="244">
        <v>18</v>
      </c>
      <c r="C22" s="270" t="s">
        <v>347</v>
      </c>
      <c r="D22" s="271" t="s">
        <v>363</v>
      </c>
      <c r="E22" s="271" t="s">
        <v>272</v>
      </c>
      <c r="F22" s="271">
        <v>5</v>
      </c>
      <c r="G22" s="235">
        <v>8.19</v>
      </c>
      <c r="H22" s="245">
        <f t="shared" si="0"/>
        <v>40.949999999999996</v>
      </c>
    </row>
    <row r="23" spans="2:8" s="218" customFormat="1" ht="25.5">
      <c r="B23" s="244">
        <v>19</v>
      </c>
      <c r="C23" s="270" t="s">
        <v>348</v>
      </c>
      <c r="D23" s="271" t="s">
        <v>364</v>
      </c>
      <c r="E23" s="271" t="s">
        <v>265</v>
      </c>
      <c r="F23" s="271">
        <v>5</v>
      </c>
      <c r="G23" s="235">
        <v>22.94</v>
      </c>
      <c r="H23" s="245">
        <f>ROUND((F23*G23)/4,2)</f>
        <v>28.68</v>
      </c>
    </row>
    <row r="24" spans="2:8" s="218" customFormat="1" ht="16.5">
      <c r="B24" s="244">
        <v>20</v>
      </c>
      <c r="C24" s="270" t="s">
        <v>268</v>
      </c>
      <c r="D24" s="271" t="s">
        <v>363</v>
      </c>
      <c r="E24" s="271" t="s">
        <v>265</v>
      </c>
      <c r="F24" s="271">
        <v>12</v>
      </c>
      <c r="G24" s="235">
        <v>5.19</v>
      </c>
      <c r="H24" s="245">
        <f t="shared" si="0"/>
        <v>62.28</v>
      </c>
    </row>
    <row r="25" spans="2:8" s="218" customFormat="1" ht="51">
      <c r="B25" s="246">
        <v>21</v>
      </c>
      <c r="C25" s="270" t="s">
        <v>349</v>
      </c>
      <c r="D25" s="271" t="s">
        <v>363</v>
      </c>
      <c r="E25" s="271" t="s">
        <v>269</v>
      </c>
      <c r="F25" s="271">
        <v>6</v>
      </c>
      <c r="G25" s="236">
        <v>32.32</v>
      </c>
      <c r="H25" s="245">
        <f>F25*G25</f>
        <v>193.92000000000002</v>
      </c>
    </row>
    <row r="26" spans="2:8" s="218" customFormat="1" ht="51">
      <c r="B26" s="247">
        <v>22</v>
      </c>
      <c r="C26" s="270" t="s">
        <v>350</v>
      </c>
      <c r="D26" s="271" t="s">
        <v>363</v>
      </c>
      <c r="E26" s="271" t="s">
        <v>368</v>
      </c>
      <c r="F26" s="271">
        <v>40</v>
      </c>
      <c r="G26" s="237">
        <v>28</v>
      </c>
      <c r="H26" s="245">
        <f t="shared" si="0"/>
        <v>1120</v>
      </c>
    </row>
    <row r="27" spans="2:8" s="218" customFormat="1" ht="16.5">
      <c r="B27" s="247">
        <v>23</v>
      </c>
      <c r="C27" s="270" t="s">
        <v>351</v>
      </c>
      <c r="D27" s="271" t="s">
        <v>263</v>
      </c>
      <c r="E27" s="271" t="s">
        <v>265</v>
      </c>
      <c r="F27" s="271">
        <v>45</v>
      </c>
      <c r="G27" s="237">
        <v>4.3</v>
      </c>
      <c r="H27" s="245">
        <f t="shared" si="0"/>
        <v>193.5</v>
      </c>
    </row>
    <row r="28" spans="2:8" s="218" customFormat="1" ht="25.5">
      <c r="B28" s="247">
        <v>24</v>
      </c>
      <c r="C28" s="270" t="s">
        <v>352</v>
      </c>
      <c r="D28" s="271" t="s">
        <v>364</v>
      </c>
      <c r="E28" s="271" t="s">
        <v>265</v>
      </c>
      <c r="F28" s="271">
        <v>5</v>
      </c>
      <c r="G28" s="238">
        <v>24.47</v>
      </c>
      <c r="H28" s="248">
        <f>ROUND((F28*G28)/4,2)</f>
        <v>30.59</v>
      </c>
    </row>
    <row r="29" spans="2:8" s="218" customFormat="1" ht="15" customHeight="1">
      <c r="B29" s="247">
        <v>25</v>
      </c>
      <c r="C29" s="270" t="s">
        <v>353</v>
      </c>
      <c r="D29" s="271" t="s">
        <v>364</v>
      </c>
      <c r="E29" s="271" t="s">
        <v>265</v>
      </c>
      <c r="F29" s="271">
        <v>5</v>
      </c>
      <c r="G29" s="238">
        <v>24.49</v>
      </c>
      <c r="H29" s="248">
        <f>ROUND((F29*G29)/4,2)</f>
        <v>30.61</v>
      </c>
    </row>
    <row r="30" spans="2:8" s="218" customFormat="1" ht="25.5">
      <c r="B30" s="247">
        <v>27</v>
      </c>
      <c r="C30" s="270" t="s">
        <v>354</v>
      </c>
      <c r="D30" s="271" t="s">
        <v>363</v>
      </c>
      <c r="E30" s="271" t="s">
        <v>265</v>
      </c>
      <c r="F30" s="271">
        <v>3</v>
      </c>
      <c r="G30" s="238">
        <v>12.28</v>
      </c>
      <c r="H30" s="248">
        <f>F30*G30</f>
        <v>36.839999999999996</v>
      </c>
    </row>
    <row r="31" spans="2:8" s="218" customFormat="1" ht="25.5">
      <c r="B31" s="247">
        <v>28</v>
      </c>
      <c r="C31" s="270" t="s">
        <v>355</v>
      </c>
      <c r="D31" s="271" t="s">
        <v>363</v>
      </c>
      <c r="E31" s="271" t="s">
        <v>369</v>
      </c>
      <c r="F31" s="271">
        <v>3</v>
      </c>
      <c r="G31" s="238">
        <v>9.85</v>
      </c>
      <c r="H31" s="248">
        <f>F31*G31</f>
        <v>29.549999999999997</v>
      </c>
    </row>
    <row r="32" spans="2:8" s="218" customFormat="1" ht="25.5">
      <c r="B32" s="247">
        <v>29</v>
      </c>
      <c r="C32" s="270" t="s">
        <v>356</v>
      </c>
      <c r="D32" s="271" t="s">
        <v>363</v>
      </c>
      <c r="E32" s="271" t="s">
        <v>365</v>
      </c>
      <c r="F32" s="271">
        <v>4</v>
      </c>
      <c r="G32" s="238">
        <v>47.66</v>
      </c>
      <c r="H32" s="248">
        <f>F32*G32</f>
        <v>190.64</v>
      </c>
    </row>
    <row r="33" spans="2:8" s="218" customFormat="1" ht="25.5">
      <c r="B33" s="247">
        <v>30</v>
      </c>
      <c r="C33" s="270" t="s">
        <v>357</v>
      </c>
      <c r="D33" s="271" t="s">
        <v>363</v>
      </c>
      <c r="E33" s="271" t="s">
        <v>270</v>
      </c>
      <c r="F33" s="271">
        <v>8</v>
      </c>
      <c r="G33" s="238">
        <v>50.69</v>
      </c>
      <c r="H33" s="248">
        <f>F33*G33</f>
        <v>405.52</v>
      </c>
    </row>
    <row r="34" spans="2:8" s="218" customFormat="1" ht="25.5">
      <c r="B34" s="247">
        <v>31</v>
      </c>
      <c r="C34" s="270" t="s">
        <v>358</v>
      </c>
      <c r="D34" s="271" t="s">
        <v>363</v>
      </c>
      <c r="E34" s="271" t="s">
        <v>270</v>
      </c>
      <c r="F34" s="271">
        <v>4</v>
      </c>
      <c r="G34" s="238">
        <v>34.62</v>
      </c>
      <c r="H34" s="248">
        <f>F34*G34</f>
        <v>138.48</v>
      </c>
    </row>
    <row r="35" spans="2:8" s="218" customFormat="1" ht="25.5">
      <c r="B35" s="247">
        <v>32</v>
      </c>
      <c r="C35" s="270" t="s">
        <v>359</v>
      </c>
      <c r="D35" s="271" t="s">
        <v>364</v>
      </c>
      <c r="E35" s="271" t="s">
        <v>265</v>
      </c>
      <c r="F35" s="271">
        <v>5</v>
      </c>
      <c r="G35" s="238">
        <v>17.66</v>
      </c>
      <c r="H35" s="248">
        <f>ROUND((F35*G35)/4,2)</f>
        <v>22.08</v>
      </c>
    </row>
    <row r="36" spans="2:8" s="218" customFormat="1" ht="25.5">
      <c r="B36" s="247">
        <v>33</v>
      </c>
      <c r="C36" s="270" t="s">
        <v>360</v>
      </c>
      <c r="D36" s="271" t="s">
        <v>364</v>
      </c>
      <c r="E36" s="271" t="s">
        <v>265</v>
      </c>
      <c r="F36" s="271">
        <v>20</v>
      </c>
      <c r="G36" s="238">
        <v>19.76</v>
      </c>
      <c r="H36" s="248">
        <f>ROUND((F36*G36)/4,2)</f>
        <v>98.8</v>
      </c>
    </row>
    <row r="37" spans="2:8" s="218" customFormat="1" ht="25.5">
      <c r="B37" s="247">
        <v>34</v>
      </c>
      <c r="C37" s="270" t="s">
        <v>361</v>
      </c>
      <c r="D37" s="271" t="s">
        <v>364</v>
      </c>
      <c r="E37" s="271" t="s">
        <v>265</v>
      </c>
      <c r="F37" s="271">
        <v>4</v>
      </c>
      <c r="G37" s="238">
        <v>17.64</v>
      </c>
      <c r="H37" s="245">
        <f>ROUND((F37*G37)/4,2)</f>
        <v>17.64</v>
      </c>
    </row>
    <row r="38" spans="2:8" s="218" customFormat="1" ht="26.25" thickBot="1">
      <c r="B38" s="249">
        <v>35</v>
      </c>
      <c r="C38" s="270" t="s">
        <v>362</v>
      </c>
      <c r="D38" s="271" t="s">
        <v>364</v>
      </c>
      <c r="E38" s="271" t="s">
        <v>265</v>
      </c>
      <c r="F38" s="271">
        <v>1</v>
      </c>
      <c r="G38" s="239">
        <v>22.65</v>
      </c>
      <c r="H38" s="250">
        <f>ROUND((F38*G38)/4,2)</f>
        <v>5.66</v>
      </c>
    </row>
    <row r="39" spans="2:8" ht="17.25" thickBot="1">
      <c r="B39" s="387" t="s">
        <v>305</v>
      </c>
      <c r="C39" s="388"/>
      <c r="D39" s="388"/>
      <c r="E39" s="388"/>
      <c r="F39" s="388"/>
      <c r="G39" s="388"/>
      <c r="H39" s="240">
        <f>SUM(H5:H38)</f>
        <v>4667.33</v>
      </c>
    </row>
    <row r="40" ht="17.25" thickBot="1"/>
    <row r="41" spans="2:8" ht="17.25" thickBot="1">
      <c r="B41" s="387" t="s">
        <v>323</v>
      </c>
      <c r="C41" s="388"/>
      <c r="D41" s="388"/>
      <c r="E41" s="388"/>
      <c r="F41" s="388"/>
      <c r="G41" s="388"/>
      <c r="H41" s="240">
        <f>H39/5</f>
        <v>933.466</v>
      </c>
    </row>
  </sheetData>
  <sheetProtection/>
  <mergeCells count="4">
    <mergeCell ref="B39:G39"/>
    <mergeCell ref="B41:G41"/>
    <mergeCell ref="B4:C4"/>
    <mergeCell ref="B2:H2"/>
  </mergeCells>
  <printOptions horizontalCentered="1"/>
  <pageMargins left="0.5118110236220472" right="0.5118110236220472" top="1.5748031496062993" bottom="0.7874015748031497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F18"/>
  <sheetViews>
    <sheetView view="pageBreakPreview" zoomScale="130" zoomScaleNormal="115" zoomScaleSheetLayoutView="130" workbookViewId="0" topLeftCell="A1">
      <selection activeCell="E13" sqref="E13"/>
    </sheetView>
  </sheetViews>
  <sheetFormatPr defaultColWidth="9.140625" defaultRowHeight="15"/>
  <cols>
    <col min="1" max="2" width="9.140625" style="214" customWidth="1"/>
    <col min="3" max="3" width="38.7109375" style="214" customWidth="1"/>
    <col min="4" max="4" width="9.140625" style="214" customWidth="1"/>
    <col min="5" max="5" width="9.8515625" style="214" bestFit="1" customWidth="1"/>
    <col min="6" max="6" width="11.7109375" style="214" bestFit="1" customWidth="1"/>
    <col min="7" max="16384" width="9.140625" style="214" customWidth="1"/>
  </cols>
  <sheetData>
    <row r="2" spans="2:6" ht="16.5">
      <c r="B2" s="394" t="s">
        <v>293</v>
      </c>
      <c r="C2" s="394"/>
      <c r="D2" s="394"/>
      <c r="E2" s="394"/>
      <c r="F2" s="394"/>
    </row>
    <row r="4" spans="2:6" ht="25.5">
      <c r="B4" s="229" t="s">
        <v>285</v>
      </c>
      <c r="C4" s="229" t="s">
        <v>306</v>
      </c>
      <c r="D4" s="229" t="s">
        <v>262</v>
      </c>
      <c r="E4" s="229" t="s">
        <v>283</v>
      </c>
      <c r="F4" s="229" t="s">
        <v>284</v>
      </c>
    </row>
    <row r="5" spans="2:6" ht="16.5">
      <c r="B5" s="230">
        <v>1</v>
      </c>
      <c r="C5" s="231" t="s">
        <v>274</v>
      </c>
      <c r="D5" s="230">
        <v>1</v>
      </c>
      <c r="E5" s="254">
        <v>728</v>
      </c>
      <c r="F5" s="254">
        <f>ROUND((D5*E5)/18,2)</f>
        <v>40.44</v>
      </c>
    </row>
    <row r="6" spans="2:6" ht="16.5">
      <c r="B6" s="230">
        <v>2</v>
      </c>
      <c r="C6" s="231" t="s">
        <v>275</v>
      </c>
      <c r="D6" s="230">
        <v>1</v>
      </c>
      <c r="E6" s="254">
        <v>1076</v>
      </c>
      <c r="F6" s="254">
        <f>ROUND((D6*E6)/18,2)</f>
        <v>59.78</v>
      </c>
    </row>
    <row r="7" spans="2:6" ht="16.5">
      <c r="B7" s="230">
        <v>3</v>
      </c>
      <c r="C7" s="231" t="s">
        <v>371</v>
      </c>
      <c r="D7" s="230">
        <v>1</v>
      </c>
      <c r="E7" s="254">
        <v>790</v>
      </c>
      <c r="F7" s="254">
        <f aca="true" t="shared" si="0" ref="F7:F15">ROUND((D7*E7)/12,2)</f>
        <v>65.83</v>
      </c>
    </row>
    <row r="8" spans="2:6" ht="16.5">
      <c r="B8" s="230">
        <v>4</v>
      </c>
      <c r="C8" s="231" t="s">
        <v>370</v>
      </c>
      <c r="D8" s="230">
        <v>1</v>
      </c>
      <c r="E8" s="254">
        <v>1129</v>
      </c>
      <c r="F8" s="254">
        <f>ROUND((D8*E8)/18,2)</f>
        <v>62.72</v>
      </c>
    </row>
    <row r="9" spans="2:6" ht="16.5">
      <c r="B9" s="230">
        <v>5</v>
      </c>
      <c r="C9" s="231" t="s">
        <v>276</v>
      </c>
      <c r="D9" s="230">
        <v>1</v>
      </c>
      <c r="E9" s="254">
        <v>46.5</v>
      </c>
      <c r="F9" s="254">
        <f t="shared" si="0"/>
        <v>3.88</v>
      </c>
    </row>
    <row r="10" spans="2:6" ht="16.5">
      <c r="B10" s="230">
        <v>6</v>
      </c>
      <c r="C10" s="231" t="s">
        <v>277</v>
      </c>
      <c r="D10" s="230">
        <v>4</v>
      </c>
      <c r="E10" s="254">
        <v>29</v>
      </c>
      <c r="F10" s="254">
        <f t="shared" si="0"/>
        <v>9.67</v>
      </c>
    </row>
    <row r="11" spans="2:6" ht="16.5">
      <c r="B11" s="230">
        <v>7</v>
      </c>
      <c r="C11" s="231" t="s">
        <v>278</v>
      </c>
      <c r="D11" s="230">
        <v>4</v>
      </c>
      <c r="E11" s="254">
        <v>1249</v>
      </c>
      <c r="F11" s="254">
        <f t="shared" si="0"/>
        <v>416.33</v>
      </c>
    </row>
    <row r="12" spans="2:6" ht="16.5">
      <c r="B12" s="230">
        <v>8</v>
      </c>
      <c r="C12" s="231" t="s">
        <v>279</v>
      </c>
      <c r="D12" s="230">
        <v>1</v>
      </c>
      <c r="E12" s="254">
        <v>1400</v>
      </c>
      <c r="F12" s="254">
        <f>ROUND((D12*E12)/18,2)</f>
        <v>77.78</v>
      </c>
    </row>
    <row r="13" spans="2:6" ht="16.5">
      <c r="B13" s="230">
        <v>9</v>
      </c>
      <c r="C13" s="231" t="s">
        <v>280</v>
      </c>
      <c r="D13" s="230">
        <v>1</v>
      </c>
      <c r="E13" s="254">
        <v>507</v>
      </c>
      <c r="F13" s="254">
        <f t="shared" si="0"/>
        <v>42.25</v>
      </c>
    </row>
    <row r="14" spans="2:6" ht="16.5">
      <c r="B14" s="230">
        <v>10</v>
      </c>
      <c r="C14" s="231" t="s">
        <v>281</v>
      </c>
      <c r="D14" s="230">
        <v>1</v>
      </c>
      <c r="E14" s="254">
        <v>21.89</v>
      </c>
      <c r="F14" s="254">
        <f t="shared" si="0"/>
        <v>1.82</v>
      </c>
    </row>
    <row r="15" spans="2:6" ht="17.25" thickBot="1">
      <c r="B15" s="230">
        <v>11</v>
      </c>
      <c r="C15" s="256" t="s">
        <v>282</v>
      </c>
      <c r="D15" s="255">
        <v>1</v>
      </c>
      <c r="E15" s="257">
        <v>35</v>
      </c>
      <c r="F15" s="257">
        <f t="shared" si="0"/>
        <v>2.92</v>
      </c>
    </row>
    <row r="16" spans="2:6" ht="17.25" thickBot="1">
      <c r="B16" s="387" t="s">
        <v>131</v>
      </c>
      <c r="C16" s="388"/>
      <c r="D16" s="388"/>
      <c r="E16" s="388"/>
      <c r="F16" s="258">
        <f>SUM(F5:F15)</f>
        <v>783.42</v>
      </c>
    </row>
    <row r="17" ht="17.25" thickBot="1"/>
    <row r="18" spans="2:6" ht="17.25" thickBot="1">
      <c r="B18" s="387" t="s">
        <v>307</v>
      </c>
      <c r="C18" s="388"/>
      <c r="D18" s="388"/>
      <c r="E18" s="388"/>
      <c r="F18" s="258">
        <f>F16/5</f>
        <v>156.684</v>
      </c>
    </row>
  </sheetData>
  <sheetProtection/>
  <mergeCells count="3">
    <mergeCell ref="B2:F2"/>
    <mergeCell ref="B16:E16"/>
    <mergeCell ref="B18:E18"/>
  </mergeCells>
  <printOptions horizontalCentered="1"/>
  <pageMargins left="0.5118110236220472" right="0.5118110236220472" top="1.5748031496062993" bottom="0.7874015748031497" header="0.31496062992125984" footer="0.31496062992125984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F27"/>
  <sheetViews>
    <sheetView view="pageBreakPreview" zoomScaleSheetLayoutView="100" workbookViewId="0" topLeftCell="A1">
      <selection activeCell="E17" sqref="E17"/>
    </sheetView>
  </sheetViews>
  <sheetFormatPr defaultColWidth="9.140625" defaultRowHeight="15"/>
  <cols>
    <col min="1" max="1" width="9.140625" style="218" customWidth="1"/>
    <col min="2" max="2" width="38.140625" style="218" customWidth="1"/>
    <col min="3" max="3" width="10.57421875" style="218" customWidth="1"/>
    <col min="4" max="4" width="10.421875" style="217" customWidth="1"/>
    <col min="5" max="5" width="12.00390625" style="218" customWidth="1"/>
    <col min="6" max="6" width="13.7109375" style="218" customWidth="1"/>
    <col min="7" max="16384" width="9.140625" style="218" customWidth="1"/>
  </cols>
  <sheetData>
    <row r="2" ht="17.25" thickBot="1"/>
    <row r="3" spans="2:6" ht="18.75" thickBot="1">
      <c r="B3" s="395" t="s">
        <v>295</v>
      </c>
      <c r="C3" s="396"/>
      <c r="D3" s="396"/>
      <c r="E3" s="396"/>
      <c r="F3" s="397"/>
    </row>
    <row r="5" spans="2:6" s="217" customFormat="1" ht="33">
      <c r="B5" s="215" t="s">
        <v>122</v>
      </c>
      <c r="C5" s="215" t="s">
        <v>286</v>
      </c>
      <c r="D5" s="215" t="s">
        <v>265</v>
      </c>
      <c r="E5" s="216" t="s">
        <v>191</v>
      </c>
      <c r="F5" s="216" t="s">
        <v>123</v>
      </c>
    </row>
    <row r="6" spans="2:6" ht="49.5">
      <c r="B6" s="219" t="s">
        <v>287</v>
      </c>
      <c r="C6" s="220">
        <v>2</v>
      </c>
      <c r="D6" s="226" t="s">
        <v>265</v>
      </c>
      <c r="E6" s="221">
        <v>31.9</v>
      </c>
      <c r="F6" s="221">
        <v>14.89</v>
      </c>
    </row>
    <row r="7" spans="2:6" ht="33">
      <c r="B7" s="219" t="s">
        <v>288</v>
      </c>
      <c r="C7" s="220">
        <v>2</v>
      </c>
      <c r="D7" s="226" t="s">
        <v>265</v>
      </c>
      <c r="E7" s="221">
        <v>22.5</v>
      </c>
      <c r="F7" s="221">
        <v>11.76</v>
      </c>
    </row>
    <row r="8" spans="2:6" ht="16.5">
      <c r="B8" s="219" t="s">
        <v>289</v>
      </c>
      <c r="C8" s="220">
        <v>3</v>
      </c>
      <c r="D8" s="226" t="s">
        <v>265</v>
      </c>
      <c r="E8" s="221">
        <v>4</v>
      </c>
      <c r="F8" s="221">
        <f>ROUND((E8*C8)/6,2)</f>
        <v>2</v>
      </c>
    </row>
    <row r="9" spans="2:6" ht="33">
      <c r="B9" s="219" t="s">
        <v>290</v>
      </c>
      <c r="C9" s="220">
        <v>2</v>
      </c>
      <c r="D9" s="226" t="s">
        <v>265</v>
      </c>
      <c r="E9" s="221">
        <v>39.9</v>
      </c>
      <c r="F9" s="221">
        <f>ROUND((E9*C9)/6,2)</f>
        <v>13.3</v>
      </c>
    </row>
    <row r="10" spans="2:6" ht="16.5">
      <c r="B10" s="219" t="s">
        <v>291</v>
      </c>
      <c r="C10" s="220">
        <v>1</v>
      </c>
      <c r="D10" s="226" t="s">
        <v>265</v>
      </c>
      <c r="E10" s="221">
        <v>22</v>
      </c>
      <c r="F10" s="221">
        <f>ROUND((E10*C10)/6,2)</f>
        <v>3.67</v>
      </c>
    </row>
    <row r="11" spans="2:6" ht="16.5">
      <c r="B11" s="222" t="s">
        <v>292</v>
      </c>
      <c r="C11" s="223">
        <v>1</v>
      </c>
      <c r="D11" s="227" t="s">
        <v>265</v>
      </c>
      <c r="E11" s="225">
        <v>3</v>
      </c>
      <c r="F11" s="225">
        <f>ROUND((E11*C11)/6,2)</f>
        <v>0.5</v>
      </c>
    </row>
    <row r="12" spans="2:6" ht="16.5">
      <c r="B12" s="398" t="s">
        <v>15</v>
      </c>
      <c r="C12" s="398"/>
      <c r="D12" s="398"/>
      <c r="E12" s="398"/>
      <c r="F12" s="228">
        <f>SUM(F6:F11)</f>
        <v>46.120000000000005</v>
      </c>
    </row>
    <row r="15" ht="17.25" thickBot="1"/>
    <row r="16" spans="2:6" ht="18.75" thickBot="1">
      <c r="B16" s="395" t="s">
        <v>303</v>
      </c>
      <c r="C16" s="396"/>
      <c r="D16" s="396"/>
      <c r="E16" s="396"/>
      <c r="F16" s="397"/>
    </row>
    <row r="18" spans="2:6" ht="33">
      <c r="B18" s="215" t="s">
        <v>122</v>
      </c>
      <c r="C18" s="215" t="s">
        <v>286</v>
      </c>
      <c r="D18" s="215" t="s">
        <v>265</v>
      </c>
      <c r="E18" s="216" t="s">
        <v>191</v>
      </c>
      <c r="F18" s="216" t="s">
        <v>123</v>
      </c>
    </row>
    <row r="19" spans="2:6" ht="16.5">
      <c r="B19" s="222" t="s">
        <v>296</v>
      </c>
      <c r="C19" s="220">
        <v>2</v>
      </c>
      <c r="D19" s="226" t="s">
        <v>265</v>
      </c>
      <c r="E19" s="221">
        <v>28</v>
      </c>
      <c r="F19" s="221">
        <f aca="true" t="shared" si="0" ref="F19:F25">ROUND((E19*C19)/6,2)</f>
        <v>9.33</v>
      </c>
    </row>
    <row r="20" spans="2:6" ht="16.5">
      <c r="B20" s="222" t="s">
        <v>297</v>
      </c>
      <c r="C20" s="220">
        <v>2</v>
      </c>
      <c r="D20" s="226" t="s">
        <v>265</v>
      </c>
      <c r="E20" s="221">
        <v>21.9</v>
      </c>
      <c r="F20" s="221">
        <f t="shared" si="0"/>
        <v>7.3</v>
      </c>
    </row>
    <row r="21" spans="2:6" ht="16.5">
      <c r="B21" s="222" t="s">
        <v>298</v>
      </c>
      <c r="C21" s="220">
        <v>2</v>
      </c>
      <c r="D21" s="226" t="s">
        <v>265</v>
      </c>
      <c r="E21" s="221">
        <v>9.9</v>
      </c>
      <c r="F21" s="221">
        <f t="shared" si="0"/>
        <v>3.3</v>
      </c>
    </row>
    <row r="22" spans="2:6" ht="16.5">
      <c r="B22" s="222" t="s">
        <v>299</v>
      </c>
      <c r="C22" s="220">
        <v>4</v>
      </c>
      <c r="D22" s="226" t="s">
        <v>265</v>
      </c>
      <c r="E22" s="221">
        <v>29.9</v>
      </c>
      <c r="F22" s="221">
        <f t="shared" si="0"/>
        <v>19.93</v>
      </c>
    </row>
    <row r="23" spans="2:6" ht="16.5">
      <c r="B23" s="222" t="s">
        <v>300</v>
      </c>
      <c r="C23" s="223">
        <v>2</v>
      </c>
      <c r="D23" s="227" t="s">
        <v>265</v>
      </c>
      <c r="E23" s="225">
        <v>3.5</v>
      </c>
      <c r="F23" s="225">
        <f t="shared" si="0"/>
        <v>1.17</v>
      </c>
    </row>
    <row r="24" spans="2:6" ht="16.5">
      <c r="B24" s="224" t="s">
        <v>301</v>
      </c>
      <c r="C24" s="232">
        <v>2</v>
      </c>
      <c r="D24" s="233" t="s">
        <v>265</v>
      </c>
      <c r="E24" s="221">
        <v>3.2</v>
      </c>
      <c r="F24" s="221">
        <f t="shared" si="0"/>
        <v>1.07</v>
      </c>
    </row>
    <row r="25" spans="2:6" ht="16.5">
      <c r="B25" s="224" t="s">
        <v>302</v>
      </c>
      <c r="C25" s="232">
        <v>1</v>
      </c>
      <c r="D25" s="233" t="s">
        <v>265</v>
      </c>
      <c r="E25" s="221">
        <v>8.5</v>
      </c>
      <c r="F25" s="221">
        <f t="shared" si="0"/>
        <v>1.42</v>
      </c>
    </row>
    <row r="26" spans="2:6" ht="16.5">
      <c r="B26" s="222" t="s">
        <v>292</v>
      </c>
      <c r="C26" s="223">
        <v>1</v>
      </c>
      <c r="D26" s="227" t="s">
        <v>265</v>
      </c>
      <c r="E26" s="225">
        <v>3</v>
      </c>
      <c r="F26" s="225">
        <f>ROUND((E26*C26)/6,2)</f>
        <v>0.5</v>
      </c>
    </row>
    <row r="27" spans="2:6" ht="16.5">
      <c r="B27" s="398" t="s">
        <v>15</v>
      </c>
      <c r="C27" s="398"/>
      <c r="D27" s="398"/>
      <c r="E27" s="398"/>
      <c r="F27" s="228">
        <f>SUM(F19:F26)</f>
        <v>44.02</v>
      </c>
    </row>
  </sheetData>
  <sheetProtection/>
  <mergeCells count="4">
    <mergeCell ref="B3:F3"/>
    <mergeCell ref="B12:E12"/>
    <mergeCell ref="B16:F16"/>
    <mergeCell ref="B27:E27"/>
  </mergeCells>
  <printOptions horizontalCentered="1"/>
  <pageMargins left="0.5118110236220472" right="0.3937007874015748" top="1.5748031496062993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Z134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6.421875" style="110" customWidth="1"/>
    <col min="2" max="2" width="77.28125" style="110" customWidth="1"/>
    <col min="3" max="3" width="13.7109375" style="110" customWidth="1"/>
    <col min="4" max="4" width="14.140625" style="110" customWidth="1"/>
    <col min="5" max="5" width="7.7109375" style="110" customWidth="1"/>
    <col min="6" max="7" width="9.140625" style="110" customWidth="1"/>
    <col min="8" max="8" width="9.140625" style="111" customWidth="1"/>
    <col min="9" max="13" width="9.140625" style="110" customWidth="1"/>
    <col min="14" max="17" width="9.140625" style="112" customWidth="1"/>
    <col min="18" max="16384" width="9.140625" style="113" customWidth="1"/>
  </cols>
  <sheetData>
    <row r="1" spans="1:6" ht="12.75">
      <c r="A1" s="403" t="s">
        <v>134</v>
      </c>
      <c r="B1" s="403"/>
      <c r="C1" s="403"/>
      <c r="D1" s="403"/>
      <c r="E1" s="403"/>
      <c r="F1" s="403"/>
    </row>
    <row r="2" spans="1:6" ht="13.5" thickBot="1">
      <c r="A2" s="114"/>
      <c r="B2" s="114"/>
      <c r="C2" s="114"/>
      <c r="D2" s="114"/>
      <c r="E2" s="114"/>
      <c r="F2" s="114"/>
    </row>
    <row r="3" spans="1:6" ht="12.75">
      <c r="A3" s="115" t="s">
        <v>135</v>
      </c>
      <c r="B3" s="116"/>
      <c r="C3" s="117">
        <f>SUM(C5:C12)</f>
        <v>0.3680000000000001</v>
      </c>
      <c r="D3" s="116"/>
      <c r="E3" s="116"/>
      <c r="F3" s="118"/>
    </row>
    <row r="4" spans="1:6" ht="12.75">
      <c r="A4" s="119"/>
      <c r="B4" s="140"/>
      <c r="C4" s="140"/>
      <c r="D4" s="140"/>
      <c r="E4" s="140"/>
      <c r="F4" s="120"/>
    </row>
    <row r="5" spans="1:6" ht="12.75">
      <c r="A5" s="121" t="s">
        <v>11</v>
      </c>
      <c r="B5" s="122" t="s">
        <v>63</v>
      </c>
      <c r="C5" s="123">
        <v>0.2</v>
      </c>
      <c r="D5" s="404" t="s">
        <v>136</v>
      </c>
      <c r="E5" s="140"/>
      <c r="F5" s="120"/>
    </row>
    <row r="6" spans="1:6" ht="12.75">
      <c r="A6" s="121" t="s">
        <v>9</v>
      </c>
      <c r="B6" s="122" t="s">
        <v>62</v>
      </c>
      <c r="C6" s="123">
        <v>0.015</v>
      </c>
      <c r="D6" s="404"/>
      <c r="E6" s="140"/>
      <c r="F6" s="120"/>
    </row>
    <row r="7" spans="1:6" ht="12.75">
      <c r="A7" s="121" t="s">
        <v>7</v>
      </c>
      <c r="B7" s="122" t="s">
        <v>61</v>
      </c>
      <c r="C7" s="123">
        <v>0.01</v>
      </c>
      <c r="D7" s="404"/>
      <c r="E7" s="140"/>
      <c r="F7" s="120"/>
    </row>
    <row r="8" spans="1:6" ht="12.75">
      <c r="A8" s="121" t="s">
        <v>5</v>
      </c>
      <c r="B8" s="122" t="s">
        <v>60</v>
      </c>
      <c r="C8" s="123">
        <v>0.002</v>
      </c>
      <c r="D8" s="404"/>
      <c r="E8" s="140"/>
      <c r="F8" s="120"/>
    </row>
    <row r="9" spans="1:6" ht="12.75">
      <c r="A9" s="121" t="s">
        <v>2</v>
      </c>
      <c r="B9" s="122" t="s">
        <v>59</v>
      </c>
      <c r="C9" s="123">
        <v>0.025</v>
      </c>
      <c r="D9" s="404"/>
      <c r="E9" s="140"/>
      <c r="F9" s="120"/>
    </row>
    <row r="10" spans="1:6" ht="12.75">
      <c r="A10" s="121" t="s">
        <v>45</v>
      </c>
      <c r="B10" s="122" t="s">
        <v>58</v>
      </c>
      <c r="C10" s="123">
        <v>0.08</v>
      </c>
      <c r="D10" s="404"/>
      <c r="E10" s="140"/>
      <c r="F10" s="120"/>
    </row>
    <row r="11" spans="1:17" ht="12.75">
      <c r="A11" s="121" t="s">
        <v>36</v>
      </c>
      <c r="B11" s="122" t="s">
        <v>230</v>
      </c>
      <c r="C11" s="124">
        <v>0.03</v>
      </c>
      <c r="D11" s="404"/>
      <c r="E11" s="140"/>
      <c r="F11" s="120"/>
      <c r="H11" s="135">
        <f>ROUND((0.03*H12)*100,4)</f>
        <v>0.0315</v>
      </c>
      <c r="K11" s="112"/>
      <c r="L11" s="112"/>
      <c r="M11" s="112"/>
      <c r="O11" s="113"/>
      <c r="P11" s="113"/>
      <c r="Q11" s="113"/>
    </row>
    <row r="12" spans="1:26" ht="13.5" thickBot="1">
      <c r="A12" s="125" t="s">
        <v>57</v>
      </c>
      <c r="B12" s="126" t="s">
        <v>56</v>
      </c>
      <c r="C12" s="127">
        <v>0.006</v>
      </c>
      <c r="D12" s="405"/>
      <c r="E12" s="128"/>
      <c r="F12" s="129"/>
      <c r="H12" s="155">
        <v>0.0105</v>
      </c>
      <c r="I12" s="141" t="s">
        <v>137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17" ht="13.5" thickBot="1">
      <c r="A13" s="114"/>
      <c r="B13" s="114"/>
      <c r="C13" s="114"/>
      <c r="D13" s="114"/>
      <c r="E13" s="114"/>
      <c r="F13" s="114"/>
      <c r="K13" s="112"/>
      <c r="L13" s="112"/>
      <c r="M13" s="112"/>
      <c r="O13" s="113"/>
      <c r="P13" s="113"/>
      <c r="Q13" s="113"/>
    </row>
    <row r="14" spans="1:17" ht="12.75">
      <c r="A14" s="115" t="s">
        <v>127</v>
      </c>
      <c r="B14" s="116"/>
      <c r="C14" s="117">
        <f>SUM(C16:C22)</f>
        <v>0.1243512</v>
      </c>
      <c r="D14" s="116"/>
      <c r="E14" s="116"/>
      <c r="F14" s="118"/>
      <c r="K14" s="112"/>
      <c r="L14" s="112"/>
      <c r="M14" s="112"/>
      <c r="O14" s="113"/>
      <c r="P14" s="113"/>
      <c r="Q14" s="113"/>
    </row>
    <row r="15" spans="1:17" ht="12.75">
      <c r="A15" s="119"/>
      <c r="B15" s="140"/>
      <c r="C15" s="140"/>
      <c r="D15" s="140"/>
      <c r="E15" s="140"/>
      <c r="F15" s="120"/>
      <c r="K15" s="112"/>
      <c r="L15" s="112"/>
      <c r="M15" s="112"/>
      <c r="O15" s="113"/>
      <c r="P15" s="113"/>
      <c r="Q15" s="113"/>
    </row>
    <row r="16" spans="1:17" ht="12.75">
      <c r="A16" s="121" t="s">
        <v>11</v>
      </c>
      <c r="B16" s="122" t="s">
        <v>55</v>
      </c>
      <c r="C16" s="124">
        <f>H16</f>
        <v>0.0909</v>
      </c>
      <c r="D16" s="140"/>
      <c r="E16" s="140"/>
      <c r="F16" s="120"/>
      <c r="H16" s="135">
        <f>ROUND((1/11),4)</f>
        <v>0.0909</v>
      </c>
      <c r="K16" s="112"/>
      <c r="L16" s="112"/>
      <c r="M16" s="112"/>
      <c r="O16" s="113"/>
      <c r="P16" s="113"/>
      <c r="Q16" s="113"/>
    </row>
    <row r="17" spans="1:17" ht="12.75">
      <c r="A17" s="121"/>
      <c r="B17" s="131" t="s">
        <v>138</v>
      </c>
      <c r="C17" s="123"/>
      <c r="D17" s="140"/>
      <c r="E17" s="140"/>
      <c r="F17" s="120"/>
      <c r="K17" s="112"/>
      <c r="L17" s="112"/>
      <c r="M17" s="112"/>
      <c r="O17" s="113"/>
      <c r="P17" s="113"/>
      <c r="Q17" s="113"/>
    </row>
    <row r="18" spans="1:17" ht="12.75">
      <c r="A18" s="121"/>
      <c r="B18" s="132" t="s">
        <v>173</v>
      </c>
      <c r="C18" s="123"/>
      <c r="D18" s="140"/>
      <c r="E18" s="140"/>
      <c r="F18" s="120"/>
      <c r="K18" s="112"/>
      <c r="L18" s="112"/>
      <c r="M18" s="112"/>
      <c r="O18" s="113"/>
      <c r="P18" s="113"/>
      <c r="Q18" s="113"/>
    </row>
    <row r="19" spans="1:17" ht="12.75">
      <c r="A19" s="121"/>
      <c r="B19" s="132" t="s">
        <v>174</v>
      </c>
      <c r="C19" s="123"/>
      <c r="D19" s="140"/>
      <c r="E19" s="140"/>
      <c r="F19" s="120"/>
      <c r="K19" s="112"/>
      <c r="L19" s="112"/>
      <c r="M19" s="112"/>
      <c r="O19" s="113"/>
      <c r="P19" s="113"/>
      <c r="Q19" s="113"/>
    </row>
    <row r="20" spans="1:17" ht="12.75">
      <c r="A20" s="121"/>
      <c r="B20" s="132" t="s">
        <v>175</v>
      </c>
      <c r="C20" s="123"/>
      <c r="D20" s="140"/>
      <c r="E20" s="140"/>
      <c r="F20" s="120"/>
      <c r="K20" s="112"/>
      <c r="L20" s="112"/>
      <c r="M20" s="112"/>
      <c r="O20" s="113"/>
      <c r="P20" s="113"/>
      <c r="Q20" s="113"/>
    </row>
    <row r="21" spans="1:17" ht="12.75">
      <c r="A21" s="121"/>
      <c r="B21" s="132"/>
      <c r="C21" s="123"/>
      <c r="D21" s="140"/>
      <c r="E21" s="140"/>
      <c r="F21" s="120"/>
      <c r="K21" s="112"/>
      <c r="L21" s="112"/>
      <c r="M21" s="112"/>
      <c r="O21" s="113"/>
      <c r="P21" s="113"/>
      <c r="Q21" s="113"/>
    </row>
    <row r="22" spans="1:17" ht="12.75">
      <c r="A22" s="121" t="s">
        <v>9</v>
      </c>
      <c r="B22" s="122" t="s">
        <v>139</v>
      </c>
      <c r="C22" s="123">
        <f>(C16)*C3</f>
        <v>0.03345120000000001</v>
      </c>
      <c r="D22" s="133" t="s">
        <v>140</v>
      </c>
      <c r="E22" s="140"/>
      <c r="F22" s="120"/>
      <c r="K22" s="112"/>
      <c r="L22" s="112"/>
      <c r="M22" s="112"/>
      <c r="O22" s="113"/>
      <c r="P22" s="113"/>
      <c r="Q22" s="113"/>
    </row>
    <row r="23" spans="1:17" ht="13.5" thickBot="1">
      <c r="A23" s="134"/>
      <c r="B23" s="128"/>
      <c r="C23" s="128"/>
      <c r="D23" s="128"/>
      <c r="E23" s="128"/>
      <c r="F23" s="129"/>
      <c r="K23" s="112"/>
      <c r="L23" s="112"/>
      <c r="M23" s="112"/>
      <c r="O23" s="113"/>
      <c r="P23" s="113"/>
      <c r="Q23" s="113"/>
    </row>
    <row r="24" spans="1:17" ht="13.5" thickBot="1">
      <c r="A24" s="114"/>
      <c r="B24" s="114"/>
      <c r="C24" s="114"/>
      <c r="D24" s="114"/>
      <c r="E24" s="114"/>
      <c r="F24" s="114"/>
      <c r="K24" s="112"/>
      <c r="L24" s="112"/>
      <c r="M24" s="112"/>
      <c r="O24" s="113"/>
      <c r="P24" s="113"/>
      <c r="Q24" s="113"/>
    </row>
    <row r="25" spans="1:17" ht="12.75">
      <c r="A25" s="115" t="s">
        <v>54</v>
      </c>
      <c r="B25" s="116"/>
      <c r="C25" s="117">
        <f>SUM(C27:C37)</f>
        <v>0.008618400000000002</v>
      </c>
      <c r="D25" s="116"/>
      <c r="E25" s="116"/>
      <c r="F25" s="118"/>
      <c r="K25" s="112"/>
      <c r="L25" s="112"/>
      <c r="M25" s="112"/>
      <c r="O25" s="113"/>
      <c r="P25" s="113"/>
      <c r="Q25" s="113"/>
    </row>
    <row r="26" spans="1:17" ht="12.75">
      <c r="A26" s="119"/>
      <c r="B26" s="140"/>
      <c r="C26" s="140"/>
      <c r="D26" s="140"/>
      <c r="E26" s="140"/>
      <c r="F26" s="120"/>
      <c r="K26" s="112"/>
      <c r="L26" s="112"/>
      <c r="M26" s="112"/>
      <c r="O26" s="113"/>
      <c r="P26" s="113"/>
      <c r="Q26" s="113"/>
    </row>
    <row r="27" spans="1:17" ht="12.75">
      <c r="A27" s="121" t="s">
        <v>11</v>
      </c>
      <c r="B27" s="122" t="s">
        <v>27</v>
      </c>
      <c r="C27" s="123">
        <f>H27</f>
        <v>0.0063</v>
      </c>
      <c r="D27" s="140"/>
      <c r="E27" s="140"/>
      <c r="F27" s="120"/>
      <c r="H27" s="135">
        <f>ROUND((0.1111*H30*0.3333),4)</f>
        <v>0.0063</v>
      </c>
      <c r="K27" s="112"/>
      <c r="L27" s="112"/>
      <c r="M27" s="112"/>
      <c r="O27" s="113"/>
      <c r="P27" s="113"/>
      <c r="Q27" s="113"/>
    </row>
    <row r="28" spans="1:17" ht="12.75">
      <c r="A28" s="121"/>
      <c r="B28" s="131" t="s">
        <v>141</v>
      </c>
      <c r="C28" s="123"/>
      <c r="D28" s="140"/>
      <c r="E28" s="140"/>
      <c r="F28" s="120"/>
      <c r="K28" s="112"/>
      <c r="L28" s="112"/>
      <c r="M28" s="112"/>
      <c r="O28" s="113"/>
      <c r="P28" s="113"/>
      <c r="Q28" s="113"/>
    </row>
    <row r="29" spans="1:17" ht="12.75">
      <c r="A29" s="121"/>
      <c r="B29" s="131" t="s">
        <v>142</v>
      </c>
      <c r="C29" s="123"/>
      <c r="D29" s="140"/>
      <c r="E29" s="140"/>
      <c r="F29" s="120"/>
      <c r="K29" s="112"/>
      <c r="L29" s="112"/>
      <c r="M29" s="112"/>
      <c r="O29" s="113"/>
      <c r="P29" s="113"/>
      <c r="Q29" s="113"/>
    </row>
    <row r="30" spans="1:26" ht="12.75">
      <c r="A30" s="121"/>
      <c r="B30" s="131" t="s">
        <v>308</v>
      </c>
      <c r="C30" s="123"/>
      <c r="D30" s="140"/>
      <c r="E30" s="140"/>
      <c r="F30" s="120"/>
      <c r="H30" s="130">
        <v>0.17</v>
      </c>
      <c r="I30" s="141" t="s">
        <v>143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17" ht="12.75">
      <c r="A31" s="121"/>
      <c r="B31" s="131" t="s">
        <v>144</v>
      </c>
      <c r="C31" s="123"/>
      <c r="D31" s="140"/>
      <c r="E31" s="140"/>
      <c r="F31" s="120"/>
      <c r="K31" s="112"/>
      <c r="L31" s="112"/>
      <c r="M31" s="112"/>
      <c r="O31" s="113"/>
      <c r="P31" s="113"/>
      <c r="Q31" s="113"/>
    </row>
    <row r="32" spans="1:17" ht="12.75">
      <c r="A32" s="121"/>
      <c r="B32" s="131" t="s">
        <v>138</v>
      </c>
      <c r="C32" s="123"/>
      <c r="D32" s="140"/>
      <c r="E32" s="140"/>
      <c r="F32" s="120"/>
      <c r="K32" s="112"/>
      <c r="L32" s="112"/>
      <c r="M32" s="112"/>
      <c r="O32" s="113"/>
      <c r="P32" s="113"/>
      <c r="Q32" s="113"/>
    </row>
    <row r="33" spans="1:17" ht="12.75">
      <c r="A33" s="121"/>
      <c r="B33" s="132" t="s">
        <v>309</v>
      </c>
      <c r="C33" s="123"/>
      <c r="D33" s="140"/>
      <c r="E33" s="140"/>
      <c r="F33" s="120"/>
      <c r="K33" s="112"/>
      <c r="L33" s="112"/>
      <c r="M33" s="112"/>
      <c r="O33" s="113"/>
      <c r="P33" s="113"/>
      <c r="Q33" s="113"/>
    </row>
    <row r="34" spans="1:17" ht="12.75">
      <c r="A34" s="119"/>
      <c r="B34" s="132" t="s">
        <v>310</v>
      </c>
      <c r="C34" s="140"/>
      <c r="D34" s="140"/>
      <c r="E34" s="140"/>
      <c r="F34" s="120"/>
      <c r="K34" s="112"/>
      <c r="L34" s="112"/>
      <c r="M34" s="112"/>
      <c r="O34" s="113"/>
      <c r="P34" s="113"/>
      <c r="Q34" s="113"/>
    </row>
    <row r="35" spans="1:17" ht="12.75">
      <c r="A35" s="119"/>
      <c r="B35" s="132" t="s">
        <v>311</v>
      </c>
      <c r="C35" s="140"/>
      <c r="D35" s="140"/>
      <c r="E35" s="140"/>
      <c r="F35" s="120"/>
      <c r="K35" s="112"/>
      <c r="L35" s="112"/>
      <c r="M35" s="112"/>
      <c r="O35" s="113"/>
      <c r="P35" s="113"/>
      <c r="Q35" s="113"/>
    </row>
    <row r="36" spans="1:17" ht="12.75">
      <c r="A36" s="119"/>
      <c r="B36" s="132"/>
      <c r="C36" s="140"/>
      <c r="D36" s="140"/>
      <c r="E36" s="140"/>
      <c r="F36" s="120"/>
      <c r="K36" s="112"/>
      <c r="L36" s="112"/>
      <c r="M36" s="112"/>
      <c r="O36" s="113"/>
      <c r="P36" s="113"/>
      <c r="Q36" s="113"/>
    </row>
    <row r="37" spans="1:17" ht="12.75">
      <c r="A37" s="121" t="s">
        <v>7</v>
      </c>
      <c r="B37" s="122" t="s">
        <v>145</v>
      </c>
      <c r="C37" s="123">
        <f>(C27)*C3</f>
        <v>0.002318400000000001</v>
      </c>
      <c r="D37" s="133" t="s">
        <v>140</v>
      </c>
      <c r="E37" s="140"/>
      <c r="F37" s="120"/>
      <c r="K37" s="112"/>
      <c r="L37" s="112"/>
      <c r="M37" s="112"/>
      <c r="O37" s="113"/>
      <c r="P37" s="113"/>
      <c r="Q37" s="113"/>
    </row>
    <row r="38" spans="1:17" ht="13.5" thickBot="1">
      <c r="A38" s="134"/>
      <c r="B38" s="128"/>
      <c r="C38" s="128"/>
      <c r="D38" s="128"/>
      <c r="E38" s="128"/>
      <c r="F38" s="129"/>
      <c r="K38" s="112"/>
      <c r="L38" s="112"/>
      <c r="M38" s="112"/>
      <c r="O38" s="113"/>
      <c r="P38" s="113"/>
      <c r="Q38" s="113"/>
    </row>
    <row r="39" spans="1:17" ht="13.5" thickBot="1">
      <c r="A39" s="114"/>
      <c r="B39" s="114"/>
      <c r="C39" s="114"/>
      <c r="D39" s="114"/>
      <c r="E39" s="114"/>
      <c r="F39" s="114"/>
      <c r="K39" s="112"/>
      <c r="L39" s="112"/>
      <c r="M39" s="112"/>
      <c r="O39" s="113"/>
      <c r="P39" s="113"/>
      <c r="Q39" s="113"/>
    </row>
    <row r="40" spans="1:17" ht="12.75">
      <c r="A40" s="115" t="s">
        <v>51</v>
      </c>
      <c r="B40" s="116"/>
      <c r="C40" s="117">
        <f>SUM(C42:C76)</f>
        <v>0.0775472</v>
      </c>
      <c r="D40" s="116"/>
      <c r="E40" s="116"/>
      <c r="F40" s="118"/>
      <c r="K40" s="112"/>
      <c r="L40" s="112"/>
      <c r="M40" s="112"/>
      <c r="O40" s="113"/>
      <c r="P40" s="113"/>
      <c r="Q40" s="113"/>
    </row>
    <row r="41" spans="1:17" ht="12.75">
      <c r="A41" s="119"/>
      <c r="B41" s="140"/>
      <c r="C41" s="140"/>
      <c r="D41" s="140"/>
      <c r="E41" s="140"/>
      <c r="F41" s="120"/>
      <c r="K41" s="112"/>
      <c r="L41" s="112"/>
      <c r="M41" s="112"/>
      <c r="O41" s="113"/>
      <c r="P41" s="113"/>
      <c r="Q41" s="113"/>
    </row>
    <row r="42" spans="1:26" ht="12.75">
      <c r="A42" s="121" t="s">
        <v>11</v>
      </c>
      <c r="B42" s="122" t="s">
        <v>146</v>
      </c>
      <c r="C42" s="124">
        <f>H42</f>
        <v>0.025</v>
      </c>
      <c r="D42" s="140"/>
      <c r="E42" s="140"/>
      <c r="F42" s="120"/>
      <c r="H42" s="135">
        <f>ROUND(H43*(1/12),4)</f>
        <v>0.025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2.75">
      <c r="A43" s="121"/>
      <c r="B43" s="171" t="s">
        <v>313</v>
      </c>
      <c r="C43" s="136"/>
      <c r="D43" s="140"/>
      <c r="E43" s="140"/>
      <c r="F43" s="120"/>
      <c r="H43" s="137">
        <v>0.3</v>
      </c>
      <c r="I43" s="141" t="s">
        <v>147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17" ht="12.75">
      <c r="A44" s="121"/>
      <c r="B44" s="171" t="s">
        <v>138</v>
      </c>
      <c r="C44" s="136"/>
      <c r="D44" s="140"/>
      <c r="E44" s="140"/>
      <c r="F44" s="120"/>
      <c r="K44" s="112"/>
      <c r="L44" s="112"/>
      <c r="M44" s="112"/>
      <c r="O44" s="113"/>
      <c r="P44" s="113"/>
      <c r="Q44" s="113"/>
    </row>
    <row r="45" spans="1:17" ht="12.75">
      <c r="A45" s="121"/>
      <c r="B45" s="261" t="s">
        <v>314</v>
      </c>
      <c r="C45" s="136"/>
      <c r="D45" s="140"/>
      <c r="E45" s="140"/>
      <c r="F45" s="120"/>
      <c r="K45" s="112"/>
      <c r="L45" s="112"/>
      <c r="M45" s="112"/>
      <c r="O45" s="113"/>
      <c r="P45" s="113"/>
      <c r="Q45" s="113"/>
    </row>
    <row r="46" spans="1:17" ht="12.75">
      <c r="A46" s="121"/>
      <c r="B46" s="261" t="s">
        <v>315</v>
      </c>
      <c r="C46" s="136"/>
      <c r="D46" s="140"/>
      <c r="E46" s="140"/>
      <c r="F46" s="120"/>
      <c r="K46" s="112"/>
      <c r="L46" s="112"/>
      <c r="M46" s="112"/>
      <c r="O46" s="113"/>
      <c r="P46" s="113"/>
      <c r="Q46" s="113"/>
    </row>
    <row r="47" spans="1:17" ht="12.75">
      <c r="A47" s="121"/>
      <c r="B47" s="261" t="s">
        <v>316</v>
      </c>
      <c r="C47" s="136"/>
      <c r="D47" s="140"/>
      <c r="E47" s="140"/>
      <c r="F47" s="120"/>
      <c r="K47" s="112"/>
      <c r="L47" s="112"/>
      <c r="M47" s="112"/>
      <c r="O47" s="113"/>
      <c r="P47" s="113"/>
      <c r="Q47" s="113"/>
    </row>
    <row r="48" spans="1:17" ht="12.75">
      <c r="A48" s="121"/>
      <c r="B48" s="261" t="s">
        <v>317</v>
      </c>
      <c r="C48" s="136"/>
      <c r="D48" s="140"/>
      <c r="E48" s="140"/>
      <c r="F48" s="120"/>
      <c r="K48" s="112"/>
      <c r="L48" s="112"/>
      <c r="M48" s="112"/>
      <c r="O48" s="113"/>
      <c r="P48" s="113"/>
      <c r="Q48" s="113"/>
    </row>
    <row r="49" spans="1:17" ht="12.75">
      <c r="A49" s="121"/>
      <c r="B49" s="132"/>
      <c r="C49" s="123"/>
      <c r="D49" s="140"/>
      <c r="E49" s="140"/>
      <c r="F49" s="120"/>
      <c r="K49" s="112"/>
      <c r="L49" s="112"/>
      <c r="M49" s="112"/>
      <c r="O49" s="113"/>
      <c r="P49" s="113"/>
      <c r="Q49" s="113"/>
    </row>
    <row r="50" spans="1:17" ht="12.75">
      <c r="A50" s="121" t="s">
        <v>9</v>
      </c>
      <c r="B50" s="122" t="s">
        <v>148</v>
      </c>
      <c r="C50" s="123">
        <f>ROUND(C42*C10,4)</f>
        <v>0.002</v>
      </c>
      <c r="D50" s="133" t="s">
        <v>140</v>
      </c>
      <c r="E50" s="140"/>
      <c r="F50" s="120"/>
      <c r="K50" s="112"/>
      <c r="L50" s="112"/>
      <c r="M50" s="112"/>
      <c r="O50" s="113"/>
      <c r="P50" s="113"/>
      <c r="Q50" s="113"/>
    </row>
    <row r="51" spans="1:17" ht="12.75">
      <c r="A51" s="121"/>
      <c r="B51" s="140" t="s">
        <v>138</v>
      </c>
      <c r="C51" s="136"/>
      <c r="D51" s="140"/>
      <c r="E51" s="140"/>
      <c r="F51" s="120"/>
      <c r="K51" s="112"/>
      <c r="L51" s="112"/>
      <c r="M51" s="112"/>
      <c r="O51" s="113"/>
      <c r="P51" s="113"/>
      <c r="Q51" s="113"/>
    </row>
    <row r="52" spans="1:17" ht="12.75">
      <c r="A52" s="121"/>
      <c r="B52" s="154" t="s">
        <v>202</v>
      </c>
      <c r="C52" s="136"/>
      <c r="D52" s="140"/>
      <c r="E52" s="140"/>
      <c r="F52" s="120"/>
      <c r="K52" s="112"/>
      <c r="L52" s="112"/>
      <c r="M52" s="112"/>
      <c r="O52" s="113"/>
      <c r="P52" s="113"/>
      <c r="Q52" s="113"/>
    </row>
    <row r="53" spans="1:17" ht="12.75">
      <c r="A53" s="121"/>
      <c r="B53" s="154" t="s">
        <v>203</v>
      </c>
      <c r="C53" s="136"/>
      <c r="D53" s="140"/>
      <c r="E53" s="140"/>
      <c r="F53" s="120"/>
      <c r="K53" s="112"/>
      <c r="L53" s="112"/>
      <c r="M53" s="112"/>
      <c r="O53" s="113"/>
      <c r="P53" s="113"/>
      <c r="Q53" s="113"/>
    </row>
    <row r="54" spans="1:17" ht="12.75">
      <c r="A54" s="121"/>
      <c r="B54" s="132"/>
      <c r="C54" s="123"/>
      <c r="D54" s="140"/>
      <c r="E54" s="140"/>
      <c r="F54" s="120"/>
      <c r="K54" s="112"/>
      <c r="L54" s="112"/>
      <c r="M54" s="112"/>
      <c r="O54" s="113"/>
      <c r="P54" s="113"/>
      <c r="Q54" s="113"/>
    </row>
    <row r="55" spans="1:17" ht="12.75">
      <c r="A55" s="121" t="s">
        <v>7</v>
      </c>
      <c r="B55" s="122" t="s">
        <v>149</v>
      </c>
      <c r="C55" s="123">
        <f>H55</f>
        <v>0.0436</v>
      </c>
      <c r="D55" s="133"/>
      <c r="E55" s="140"/>
      <c r="F55" s="120"/>
      <c r="H55" s="135">
        <f>ROUND((0.08*0.5*0.9)*(1+1/11+1/11+1/3*1/11),4)</f>
        <v>0.0436</v>
      </c>
      <c r="K55" s="112"/>
      <c r="L55" s="112"/>
      <c r="M55" s="112"/>
      <c r="O55" s="113"/>
      <c r="P55" s="113"/>
      <c r="Q55" s="113"/>
    </row>
    <row r="56" spans="1:26" ht="12.75" customHeight="1">
      <c r="A56" s="121"/>
      <c r="B56" s="401" t="s">
        <v>150</v>
      </c>
      <c r="C56" s="401"/>
      <c r="D56" s="401"/>
      <c r="E56" s="401"/>
      <c r="F56" s="402"/>
      <c r="H56" s="137"/>
      <c r="I56" s="141" t="s">
        <v>151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17" ht="37.5" customHeight="1">
      <c r="A57" s="121"/>
      <c r="B57" s="406" t="s">
        <v>204</v>
      </c>
      <c r="C57" s="406"/>
      <c r="D57" s="406"/>
      <c r="E57" s="406"/>
      <c r="F57" s="407"/>
      <c r="H57" s="137"/>
      <c r="K57" s="112"/>
      <c r="L57" s="112"/>
      <c r="M57" s="112"/>
      <c r="O57" s="113"/>
      <c r="P57" s="113"/>
      <c r="Q57" s="113"/>
    </row>
    <row r="58" spans="1:17" ht="12.75">
      <c r="A58" s="121"/>
      <c r="B58" s="399" t="s">
        <v>205</v>
      </c>
      <c r="C58" s="399"/>
      <c r="D58" s="140"/>
      <c r="E58" s="140"/>
      <c r="F58" s="120"/>
      <c r="K58" s="112"/>
      <c r="L58" s="112"/>
      <c r="M58" s="112"/>
      <c r="O58" s="113"/>
      <c r="P58" s="113"/>
      <c r="Q58" s="113"/>
    </row>
    <row r="59" spans="1:17" ht="12.75">
      <c r="A59" s="121"/>
      <c r="B59" s="154" t="s">
        <v>206</v>
      </c>
      <c r="C59" s="140"/>
      <c r="D59" s="140"/>
      <c r="E59" s="140"/>
      <c r="F59" s="120"/>
      <c r="K59" s="112"/>
      <c r="L59" s="112"/>
      <c r="M59" s="112"/>
      <c r="O59" s="113"/>
      <c r="P59" s="113"/>
      <c r="Q59" s="113"/>
    </row>
    <row r="60" spans="1:17" ht="12.75">
      <c r="A60" s="121"/>
      <c r="B60" s="132"/>
      <c r="C60" s="123"/>
      <c r="D60" s="140"/>
      <c r="E60" s="140"/>
      <c r="F60" s="120"/>
      <c r="K60" s="112"/>
      <c r="L60" s="112"/>
      <c r="M60" s="112"/>
      <c r="O60" s="113"/>
      <c r="P60" s="113"/>
      <c r="Q60" s="113"/>
    </row>
    <row r="61" spans="1:17" ht="12.75">
      <c r="A61" s="121" t="s">
        <v>5</v>
      </c>
      <c r="B61" s="122" t="s">
        <v>152</v>
      </c>
      <c r="C61" s="123">
        <f>H61</f>
        <v>0.0004</v>
      </c>
      <c r="D61" s="140"/>
      <c r="E61" s="140"/>
      <c r="F61" s="120"/>
      <c r="H61" s="135">
        <f>ROUND(((7/30)/12)*H62,4)</f>
        <v>0.0004</v>
      </c>
      <c r="K61" s="112"/>
      <c r="L61" s="112"/>
      <c r="M61" s="112"/>
      <c r="O61" s="113"/>
      <c r="P61" s="113"/>
      <c r="Q61" s="113"/>
    </row>
    <row r="62" spans="1:26" ht="12.75">
      <c r="A62" s="121"/>
      <c r="B62" s="131" t="s">
        <v>141</v>
      </c>
      <c r="C62" s="123"/>
      <c r="D62" s="140"/>
      <c r="E62" s="140"/>
      <c r="F62" s="120"/>
      <c r="H62" s="130">
        <v>0.02</v>
      </c>
      <c r="I62" s="141" t="s">
        <v>153</v>
      </c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17" ht="12.75">
      <c r="A63" s="121"/>
      <c r="B63" s="131" t="s">
        <v>154</v>
      </c>
      <c r="C63" s="123"/>
      <c r="D63" s="140"/>
      <c r="E63" s="140"/>
      <c r="F63" s="120"/>
      <c r="K63" s="112"/>
      <c r="L63" s="112"/>
      <c r="M63" s="112"/>
      <c r="O63" s="113"/>
      <c r="P63" s="113"/>
      <c r="Q63" s="113"/>
    </row>
    <row r="64" spans="1:17" ht="12.75">
      <c r="A64" s="121"/>
      <c r="B64" s="131" t="s">
        <v>207</v>
      </c>
      <c r="C64" s="123"/>
      <c r="D64" s="140"/>
      <c r="E64" s="140"/>
      <c r="F64" s="120"/>
      <c r="K64" s="112"/>
      <c r="L64" s="112"/>
      <c r="M64" s="112"/>
      <c r="O64" s="113"/>
      <c r="P64" s="113"/>
      <c r="Q64" s="113"/>
    </row>
    <row r="65" spans="1:17" ht="12.75">
      <c r="A65" s="121"/>
      <c r="B65" s="131" t="s">
        <v>138</v>
      </c>
      <c r="C65" s="123"/>
      <c r="D65" s="140"/>
      <c r="E65" s="140"/>
      <c r="F65" s="120"/>
      <c r="K65" s="112"/>
      <c r="L65" s="112"/>
      <c r="M65" s="112"/>
      <c r="O65" s="113"/>
      <c r="P65" s="113"/>
      <c r="Q65" s="113"/>
    </row>
    <row r="66" spans="1:17" ht="12.75">
      <c r="A66" s="121"/>
      <c r="B66" s="132" t="s">
        <v>208</v>
      </c>
      <c r="C66" s="123"/>
      <c r="D66" s="140"/>
      <c r="E66" s="140"/>
      <c r="F66" s="120"/>
      <c r="K66" s="112"/>
      <c r="L66" s="112"/>
      <c r="M66" s="112"/>
      <c r="O66" s="113"/>
      <c r="P66" s="113"/>
      <c r="Q66" s="113"/>
    </row>
    <row r="67" spans="1:17" ht="12.75">
      <c r="A67" s="121"/>
      <c r="B67" s="132" t="s">
        <v>209</v>
      </c>
      <c r="C67" s="123"/>
      <c r="D67" s="140"/>
      <c r="E67" s="140"/>
      <c r="F67" s="120"/>
      <c r="K67" s="112"/>
      <c r="L67" s="112"/>
      <c r="M67" s="112"/>
      <c r="O67" s="113"/>
      <c r="P67" s="113"/>
      <c r="Q67" s="113"/>
    </row>
    <row r="68" spans="1:17" ht="12.75">
      <c r="A68" s="121"/>
      <c r="B68" s="132" t="s">
        <v>210</v>
      </c>
      <c r="C68" s="123"/>
      <c r="D68" s="140"/>
      <c r="E68" s="140"/>
      <c r="F68" s="120"/>
      <c r="K68" s="112"/>
      <c r="L68" s="112"/>
      <c r="M68" s="112"/>
      <c r="O68" s="113"/>
      <c r="P68" s="113"/>
      <c r="Q68" s="113"/>
    </row>
    <row r="69" spans="1:17" ht="12.75">
      <c r="A69" s="121"/>
      <c r="B69" s="132" t="s">
        <v>211</v>
      </c>
      <c r="C69" s="123"/>
      <c r="D69" s="140"/>
      <c r="E69" s="140"/>
      <c r="F69" s="120"/>
      <c r="K69" s="112"/>
      <c r="L69" s="112"/>
      <c r="M69" s="112"/>
      <c r="O69" s="113"/>
      <c r="P69" s="113"/>
      <c r="Q69" s="113"/>
    </row>
    <row r="70" spans="1:17" ht="12.75">
      <c r="A70" s="121"/>
      <c r="B70" s="132"/>
      <c r="C70" s="123"/>
      <c r="D70" s="140"/>
      <c r="E70" s="140"/>
      <c r="F70" s="120"/>
      <c r="K70" s="112"/>
      <c r="L70" s="112"/>
      <c r="M70" s="112"/>
      <c r="O70" s="113"/>
      <c r="P70" s="113"/>
      <c r="Q70" s="113"/>
    </row>
    <row r="71" spans="1:17" ht="12.75">
      <c r="A71" s="121" t="s">
        <v>2</v>
      </c>
      <c r="B71" s="122" t="s">
        <v>155</v>
      </c>
      <c r="C71" s="123">
        <f>C61*C3</f>
        <v>0.00014720000000000005</v>
      </c>
      <c r="D71" s="133" t="s">
        <v>140</v>
      </c>
      <c r="E71" s="140"/>
      <c r="F71" s="120"/>
      <c r="K71" s="112"/>
      <c r="L71" s="112"/>
      <c r="M71" s="112"/>
      <c r="O71" s="113"/>
      <c r="P71" s="113"/>
      <c r="Q71" s="113"/>
    </row>
    <row r="72" spans="1:17" ht="12.75">
      <c r="A72" s="121"/>
      <c r="B72" s="132"/>
      <c r="C72" s="123"/>
      <c r="D72" s="140"/>
      <c r="E72" s="140"/>
      <c r="F72" s="120"/>
      <c r="K72" s="112"/>
      <c r="L72" s="112"/>
      <c r="M72" s="112"/>
      <c r="O72" s="113"/>
      <c r="P72" s="113"/>
      <c r="Q72" s="113"/>
    </row>
    <row r="73" spans="1:17" ht="12.75">
      <c r="A73" s="121" t="s">
        <v>45</v>
      </c>
      <c r="B73" s="122" t="s">
        <v>156</v>
      </c>
      <c r="C73" s="123">
        <f>H73</f>
        <v>0.0064</v>
      </c>
      <c r="D73" s="133"/>
      <c r="E73" s="140"/>
      <c r="F73" s="120"/>
      <c r="H73" s="135">
        <v>0.0064</v>
      </c>
      <c r="K73" s="112"/>
      <c r="L73" s="112"/>
      <c r="M73" s="112"/>
      <c r="O73" s="113"/>
      <c r="P73" s="113"/>
      <c r="Q73" s="113"/>
    </row>
    <row r="74" spans="1:26" ht="12.75" customHeight="1">
      <c r="A74" s="119"/>
      <c r="B74" s="401" t="s">
        <v>157</v>
      </c>
      <c r="C74" s="401"/>
      <c r="D74" s="401"/>
      <c r="E74" s="401"/>
      <c r="F74" s="402"/>
      <c r="H74" s="137"/>
      <c r="I74" s="141" t="s">
        <v>158</v>
      </c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17" ht="78" customHeight="1">
      <c r="A75" s="119"/>
      <c r="B75" s="406" t="s">
        <v>212</v>
      </c>
      <c r="C75" s="406"/>
      <c r="D75" s="406"/>
      <c r="E75" s="406"/>
      <c r="F75" s="407"/>
      <c r="H75" s="137"/>
      <c r="K75" s="112"/>
      <c r="L75" s="112"/>
      <c r="M75" s="112"/>
      <c r="O75" s="113"/>
      <c r="P75" s="113"/>
      <c r="Q75" s="113"/>
    </row>
    <row r="76" spans="1:17" ht="12.75">
      <c r="A76" s="119"/>
      <c r="B76" s="399" t="s">
        <v>213</v>
      </c>
      <c r="C76" s="400"/>
      <c r="D76" s="140"/>
      <c r="E76" s="140"/>
      <c r="F76" s="120"/>
      <c r="K76" s="112"/>
      <c r="L76" s="112"/>
      <c r="M76" s="112"/>
      <c r="O76" s="113"/>
      <c r="P76" s="113"/>
      <c r="Q76" s="113"/>
    </row>
    <row r="77" spans="1:17" ht="12.75">
      <c r="A77" s="119"/>
      <c r="B77" s="154" t="s">
        <v>214</v>
      </c>
      <c r="C77" s="140"/>
      <c r="D77" s="140"/>
      <c r="E77" s="140"/>
      <c r="F77" s="120"/>
      <c r="K77" s="112"/>
      <c r="L77" s="112"/>
      <c r="M77" s="112"/>
      <c r="O77" s="113"/>
      <c r="P77" s="113"/>
      <c r="Q77" s="113"/>
    </row>
    <row r="78" spans="1:17" ht="13.5" thickBot="1">
      <c r="A78" s="134"/>
      <c r="B78" s="128"/>
      <c r="C78" s="128"/>
      <c r="D78" s="128"/>
      <c r="E78" s="128"/>
      <c r="F78" s="129"/>
      <c r="K78" s="112"/>
      <c r="L78" s="112"/>
      <c r="M78" s="112"/>
      <c r="O78" s="113"/>
      <c r="P78" s="113"/>
      <c r="Q78" s="113"/>
    </row>
    <row r="79" spans="1:17" ht="13.5" thickBot="1">
      <c r="A79" s="114"/>
      <c r="B79" s="114"/>
      <c r="C79" s="114"/>
      <c r="D79" s="114"/>
      <c r="E79" s="114"/>
      <c r="F79" s="114"/>
      <c r="K79" s="112"/>
      <c r="L79" s="112"/>
      <c r="M79" s="112"/>
      <c r="O79" s="113"/>
      <c r="P79" s="113"/>
      <c r="Q79" s="113"/>
    </row>
    <row r="80" spans="1:17" ht="12.75">
      <c r="A80" s="115" t="s">
        <v>43</v>
      </c>
      <c r="B80" s="116"/>
      <c r="C80" s="117">
        <f>SUM(C82:C128)</f>
        <v>0.25485840000000004</v>
      </c>
      <c r="D80" s="116"/>
      <c r="E80" s="116"/>
      <c r="F80" s="118"/>
      <c r="K80" s="112"/>
      <c r="L80" s="112"/>
      <c r="M80" s="112"/>
      <c r="O80" s="113"/>
      <c r="P80" s="113"/>
      <c r="Q80" s="113"/>
    </row>
    <row r="81" spans="1:17" ht="12.75">
      <c r="A81" s="119"/>
      <c r="B81" s="140"/>
      <c r="C81" s="140"/>
      <c r="D81" s="140"/>
      <c r="E81" s="140"/>
      <c r="F81" s="120"/>
      <c r="K81" s="112"/>
      <c r="L81" s="112"/>
      <c r="M81" s="112"/>
      <c r="O81" s="113"/>
      <c r="P81" s="113"/>
      <c r="Q81" s="113"/>
    </row>
    <row r="82" spans="1:17" ht="12.75">
      <c r="A82" s="121" t="s">
        <v>11</v>
      </c>
      <c r="B82" s="122" t="s">
        <v>130</v>
      </c>
      <c r="C82" s="124">
        <f>H82</f>
        <v>0.1212</v>
      </c>
      <c r="D82" s="140"/>
      <c r="E82" s="140"/>
      <c r="F82" s="120"/>
      <c r="H82" s="135">
        <f>ROUND((1/11)+(1/3*1/11),4)</f>
        <v>0.1212</v>
      </c>
      <c r="K82" s="112"/>
      <c r="L82" s="112"/>
      <c r="M82" s="112"/>
      <c r="O82" s="113"/>
      <c r="P82" s="113"/>
      <c r="Q82" s="113"/>
    </row>
    <row r="83" spans="1:17" ht="12.75">
      <c r="A83" s="121"/>
      <c r="B83" s="131" t="s">
        <v>138</v>
      </c>
      <c r="C83" s="136"/>
      <c r="D83" s="140"/>
      <c r="E83" s="140"/>
      <c r="F83" s="120"/>
      <c r="K83" s="112"/>
      <c r="L83" s="112"/>
      <c r="M83" s="112"/>
      <c r="O83" s="113"/>
      <c r="P83" s="113"/>
      <c r="Q83" s="113"/>
    </row>
    <row r="84" spans="1:17" ht="12.75">
      <c r="A84" s="121"/>
      <c r="B84" s="132" t="s">
        <v>176</v>
      </c>
      <c r="C84" s="136"/>
      <c r="D84" s="140"/>
      <c r="E84" s="140"/>
      <c r="F84" s="120"/>
      <c r="K84" s="112"/>
      <c r="L84" s="112"/>
      <c r="M84" s="112"/>
      <c r="O84" s="113"/>
      <c r="P84" s="113"/>
      <c r="Q84" s="113"/>
    </row>
    <row r="85" spans="1:17" ht="12.75">
      <c r="A85" s="121"/>
      <c r="B85" s="132" t="s">
        <v>177</v>
      </c>
      <c r="C85" s="136"/>
      <c r="D85" s="140"/>
      <c r="E85" s="140"/>
      <c r="F85" s="120"/>
      <c r="K85" s="112"/>
      <c r="L85" s="112"/>
      <c r="M85" s="112"/>
      <c r="O85" s="113"/>
      <c r="P85" s="113"/>
      <c r="Q85" s="113"/>
    </row>
    <row r="86" spans="1:17" ht="12.75">
      <c r="A86" s="121"/>
      <c r="B86" s="132" t="s">
        <v>178</v>
      </c>
      <c r="C86" s="136"/>
      <c r="D86" s="140"/>
      <c r="E86" s="140"/>
      <c r="F86" s="120"/>
      <c r="K86" s="112"/>
      <c r="L86" s="112"/>
      <c r="M86" s="112"/>
      <c r="O86" s="113"/>
      <c r="P86" s="113"/>
      <c r="Q86" s="113"/>
    </row>
    <row r="87" spans="1:17" ht="12.75">
      <c r="A87" s="121"/>
      <c r="B87" s="132"/>
      <c r="C87" s="123"/>
      <c r="D87" s="140"/>
      <c r="E87" s="140"/>
      <c r="F87" s="120"/>
      <c r="K87" s="112"/>
      <c r="L87" s="112"/>
      <c r="M87" s="112"/>
      <c r="O87" s="113"/>
      <c r="P87" s="113"/>
      <c r="Q87" s="113"/>
    </row>
    <row r="88" spans="1:17" ht="12.75">
      <c r="A88" s="121" t="s">
        <v>9</v>
      </c>
      <c r="B88" s="122" t="s">
        <v>159</v>
      </c>
      <c r="C88" s="123">
        <f>H88</f>
        <v>0.0333</v>
      </c>
      <c r="D88" s="133"/>
      <c r="E88" s="140"/>
      <c r="F88" s="120"/>
      <c r="H88" s="135">
        <f>ROUND((H89/30)/12,4)</f>
        <v>0.0333</v>
      </c>
      <c r="K88" s="112"/>
      <c r="L88" s="112"/>
      <c r="M88" s="112"/>
      <c r="O88" s="113"/>
      <c r="P88" s="113"/>
      <c r="Q88" s="113"/>
    </row>
    <row r="89" spans="1:26" ht="12.75">
      <c r="A89" s="121"/>
      <c r="B89" s="131" t="s">
        <v>179</v>
      </c>
      <c r="C89" s="136"/>
      <c r="D89" s="140"/>
      <c r="E89" s="140"/>
      <c r="F89" s="120"/>
      <c r="H89" s="130">
        <v>12</v>
      </c>
      <c r="I89" s="141" t="s">
        <v>160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17" ht="12.75">
      <c r="A90" s="121"/>
      <c r="B90" s="131" t="s">
        <v>138</v>
      </c>
      <c r="C90" s="136"/>
      <c r="D90" s="140"/>
      <c r="E90" s="140"/>
      <c r="F90" s="120"/>
      <c r="K90" s="112"/>
      <c r="L90" s="112"/>
      <c r="M90" s="112"/>
      <c r="O90" s="113"/>
      <c r="P90" s="113"/>
      <c r="Q90" s="113"/>
    </row>
    <row r="91" spans="1:17" ht="12.75">
      <c r="A91" s="121"/>
      <c r="B91" s="131" t="s">
        <v>180</v>
      </c>
      <c r="C91" s="136"/>
      <c r="D91" s="140"/>
      <c r="E91" s="140"/>
      <c r="F91" s="120"/>
      <c r="K91" s="112"/>
      <c r="L91" s="112"/>
      <c r="M91" s="112"/>
      <c r="O91" s="113"/>
      <c r="P91" s="113"/>
      <c r="Q91" s="113"/>
    </row>
    <row r="92" spans="1:17" ht="12.75">
      <c r="A92" s="121"/>
      <c r="B92" s="132" t="s">
        <v>181</v>
      </c>
      <c r="C92" s="136"/>
      <c r="D92" s="140"/>
      <c r="E92" s="140"/>
      <c r="F92" s="120"/>
      <c r="K92" s="112"/>
      <c r="L92" s="112"/>
      <c r="M92" s="112"/>
      <c r="O92" s="113"/>
      <c r="P92" s="113"/>
      <c r="Q92" s="113"/>
    </row>
    <row r="93" spans="1:17" ht="12.75">
      <c r="A93" s="121"/>
      <c r="B93" s="132" t="s">
        <v>182</v>
      </c>
      <c r="C93" s="136"/>
      <c r="D93" s="140"/>
      <c r="E93" s="140"/>
      <c r="F93" s="120"/>
      <c r="K93" s="112"/>
      <c r="L93" s="112"/>
      <c r="M93" s="112"/>
      <c r="O93" s="113"/>
      <c r="P93" s="113"/>
      <c r="Q93" s="113"/>
    </row>
    <row r="94" spans="1:17" ht="12.75">
      <c r="A94" s="121"/>
      <c r="B94" s="132" t="s">
        <v>183</v>
      </c>
      <c r="C94" s="136"/>
      <c r="D94" s="140"/>
      <c r="E94" s="140"/>
      <c r="F94" s="120"/>
      <c r="K94" s="112"/>
      <c r="L94" s="112"/>
      <c r="M94" s="112"/>
      <c r="O94" s="113"/>
      <c r="P94" s="113"/>
      <c r="Q94" s="113"/>
    </row>
    <row r="95" spans="1:17" ht="12.75">
      <c r="A95" s="121"/>
      <c r="B95" s="150"/>
      <c r="C95" s="136"/>
      <c r="D95" s="140"/>
      <c r="E95" s="140"/>
      <c r="F95" s="120"/>
      <c r="K95" s="112"/>
      <c r="L95" s="112"/>
      <c r="M95" s="112"/>
      <c r="O95" s="113"/>
      <c r="P95" s="113"/>
      <c r="Q95" s="113"/>
    </row>
    <row r="96" spans="1:17" ht="12.75">
      <c r="A96" s="121" t="s">
        <v>7</v>
      </c>
      <c r="B96" s="122" t="s">
        <v>161</v>
      </c>
      <c r="C96" s="123">
        <f>H96</f>
        <v>0.0013</v>
      </c>
      <c r="D96" s="133"/>
      <c r="E96" s="140"/>
      <c r="F96" s="120"/>
      <c r="H96" s="135">
        <f>ROUND(((5/30)/12)*H102,4)</f>
        <v>0.0013</v>
      </c>
      <c r="K96" s="112"/>
      <c r="L96" s="112"/>
      <c r="M96" s="112"/>
      <c r="O96" s="113"/>
      <c r="P96" s="113"/>
      <c r="Q96" s="113"/>
    </row>
    <row r="97" spans="1:17" ht="12.75">
      <c r="A97" s="121"/>
      <c r="B97" s="131" t="s">
        <v>141</v>
      </c>
      <c r="C97" s="131"/>
      <c r="D97" s="140"/>
      <c r="E97" s="140"/>
      <c r="F97" s="120"/>
      <c r="K97" s="112"/>
      <c r="L97" s="112"/>
      <c r="M97" s="112"/>
      <c r="O97" s="113"/>
      <c r="P97" s="113"/>
      <c r="Q97" s="113"/>
    </row>
    <row r="98" spans="1:17" ht="12.75">
      <c r="A98" s="121"/>
      <c r="B98" s="131" t="s">
        <v>162</v>
      </c>
      <c r="C98" s="131"/>
      <c r="D98" s="140"/>
      <c r="E98" s="140"/>
      <c r="F98" s="120"/>
      <c r="K98" s="112"/>
      <c r="L98" s="112"/>
      <c r="M98" s="112"/>
      <c r="O98" s="113"/>
      <c r="P98" s="113"/>
      <c r="Q98" s="113"/>
    </row>
    <row r="99" spans="1:17" ht="12.75">
      <c r="A99" s="121"/>
      <c r="B99" s="131" t="s">
        <v>163</v>
      </c>
      <c r="C99" s="131"/>
      <c r="D99" s="140"/>
      <c r="E99" s="140"/>
      <c r="F99" s="120"/>
      <c r="K99" s="112"/>
      <c r="L99" s="112"/>
      <c r="M99" s="112"/>
      <c r="O99" s="113"/>
      <c r="P99" s="113"/>
      <c r="Q99" s="113"/>
    </row>
    <row r="100" spans="1:17" ht="12.75">
      <c r="A100" s="121"/>
      <c r="B100" s="132" t="s">
        <v>164</v>
      </c>
      <c r="C100" s="132"/>
      <c r="D100" s="140"/>
      <c r="E100" s="140"/>
      <c r="F100" s="120"/>
      <c r="K100" s="112"/>
      <c r="L100" s="112"/>
      <c r="M100" s="112"/>
      <c r="O100" s="113"/>
      <c r="P100" s="113"/>
      <c r="Q100" s="113"/>
    </row>
    <row r="101" spans="1:17" ht="12.75">
      <c r="A101" s="121"/>
      <c r="B101" s="131" t="s">
        <v>138</v>
      </c>
      <c r="C101" s="131"/>
      <c r="D101" s="140"/>
      <c r="E101" s="140"/>
      <c r="F101" s="120"/>
      <c r="K101" s="112"/>
      <c r="L101" s="112"/>
      <c r="M101" s="112"/>
      <c r="O101" s="113"/>
      <c r="P101" s="113"/>
      <c r="Q101" s="113"/>
    </row>
    <row r="102" spans="1:26" ht="12.75">
      <c r="A102" s="121"/>
      <c r="B102" s="131" t="s">
        <v>192</v>
      </c>
      <c r="C102" s="131"/>
      <c r="D102" s="140"/>
      <c r="E102" s="140"/>
      <c r="F102" s="120"/>
      <c r="H102" s="130">
        <v>0.09</v>
      </c>
      <c r="I102" s="141" t="s">
        <v>165</v>
      </c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17" ht="12.75">
      <c r="A103" s="121"/>
      <c r="B103" s="132" t="s">
        <v>193</v>
      </c>
      <c r="C103" s="132"/>
      <c r="D103" s="140"/>
      <c r="E103" s="140"/>
      <c r="F103" s="120"/>
      <c r="K103" s="112"/>
      <c r="L103" s="112"/>
      <c r="M103" s="112"/>
      <c r="O103" s="113"/>
      <c r="P103" s="113"/>
      <c r="Q103" s="113"/>
    </row>
    <row r="104" spans="1:17" ht="12.75">
      <c r="A104" s="121"/>
      <c r="B104" s="132" t="s">
        <v>194</v>
      </c>
      <c r="C104" s="132"/>
      <c r="D104" s="140"/>
      <c r="E104" s="140"/>
      <c r="F104" s="120"/>
      <c r="K104" s="112"/>
      <c r="L104" s="112"/>
      <c r="M104" s="112"/>
      <c r="O104" s="113"/>
      <c r="P104" s="113"/>
      <c r="Q104" s="113"/>
    </row>
    <row r="105" spans="1:17" ht="12.75">
      <c r="A105" s="121"/>
      <c r="B105" s="132" t="s">
        <v>195</v>
      </c>
      <c r="C105" s="132"/>
      <c r="D105" s="140"/>
      <c r="E105" s="140"/>
      <c r="F105" s="120"/>
      <c r="K105" s="112"/>
      <c r="L105" s="112"/>
      <c r="M105" s="112"/>
      <c r="O105" s="113"/>
      <c r="P105" s="113"/>
      <c r="Q105" s="113"/>
    </row>
    <row r="106" spans="1:17" ht="12.75">
      <c r="A106" s="121"/>
      <c r="B106" s="132" t="s">
        <v>196</v>
      </c>
      <c r="C106" s="132"/>
      <c r="D106" s="140"/>
      <c r="E106" s="140"/>
      <c r="F106" s="120"/>
      <c r="K106" s="112"/>
      <c r="L106" s="112"/>
      <c r="M106" s="112"/>
      <c r="O106" s="113"/>
      <c r="P106" s="113"/>
      <c r="Q106" s="113"/>
    </row>
    <row r="107" spans="1:17" ht="12.75">
      <c r="A107" s="121"/>
      <c r="B107" s="132" t="s">
        <v>197</v>
      </c>
      <c r="C107" s="132"/>
      <c r="D107" s="140"/>
      <c r="E107" s="140"/>
      <c r="F107" s="120"/>
      <c r="K107" s="112"/>
      <c r="L107" s="112"/>
      <c r="M107" s="112"/>
      <c r="O107" s="113"/>
      <c r="P107" s="113"/>
      <c r="Q107" s="113"/>
    </row>
    <row r="108" spans="1:17" ht="12.75">
      <c r="A108" s="121"/>
      <c r="B108" s="132"/>
      <c r="C108" s="123"/>
      <c r="D108" s="140"/>
      <c r="E108" s="140"/>
      <c r="F108" s="120"/>
      <c r="K108" s="112"/>
      <c r="L108" s="112"/>
      <c r="M108" s="112"/>
      <c r="O108" s="113"/>
      <c r="P108" s="113"/>
      <c r="Q108" s="113"/>
    </row>
    <row r="109" spans="1:17" ht="12.75">
      <c r="A109" s="121" t="s">
        <v>5</v>
      </c>
      <c r="B109" s="122" t="s">
        <v>166</v>
      </c>
      <c r="C109" s="123">
        <f>H109</f>
        <v>0.0222</v>
      </c>
      <c r="D109" s="140"/>
      <c r="E109" s="140"/>
      <c r="F109" s="120"/>
      <c r="H109" s="135">
        <f>ROUND((H110/30)/12,4)</f>
        <v>0.0222</v>
      </c>
      <c r="K109" s="112"/>
      <c r="L109" s="112"/>
      <c r="M109" s="112"/>
      <c r="O109" s="113"/>
      <c r="P109" s="113"/>
      <c r="Q109" s="113"/>
    </row>
    <row r="110" spans="1:26" ht="12.75">
      <c r="A110" s="121"/>
      <c r="B110" s="131" t="s">
        <v>141</v>
      </c>
      <c r="C110" s="123"/>
      <c r="D110" s="140"/>
      <c r="E110" s="140"/>
      <c r="F110" s="120"/>
      <c r="H110" s="130">
        <v>8</v>
      </c>
      <c r="I110" s="141" t="s">
        <v>167</v>
      </c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17" ht="12.75">
      <c r="A111" s="121"/>
      <c r="B111" s="131" t="s">
        <v>318</v>
      </c>
      <c r="C111" s="123"/>
      <c r="D111" s="140"/>
      <c r="E111" s="140"/>
      <c r="F111" s="120"/>
      <c r="K111" s="112"/>
      <c r="L111" s="112"/>
      <c r="M111" s="112"/>
      <c r="O111" s="113"/>
      <c r="P111" s="113"/>
      <c r="Q111" s="113"/>
    </row>
    <row r="112" spans="1:17" ht="12.75">
      <c r="A112" s="121"/>
      <c r="B112" s="131" t="s">
        <v>138</v>
      </c>
      <c r="C112" s="123"/>
      <c r="D112" s="140"/>
      <c r="E112" s="140"/>
      <c r="F112" s="120"/>
      <c r="K112" s="112"/>
      <c r="L112" s="112"/>
      <c r="M112" s="112"/>
      <c r="O112" s="113"/>
      <c r="P112" s="113"/>
      <c r="Q112" s="113"/>
    </row>
    <row r="113" spans="1:17" ht="12.75">
      <c r="A113" s="121"/>
      <c r="B113" s="132" t="s">
        <v>319</v>
      </c>
      <c r="C113" s="123"/>
      <c r="D113" s="140"/>
      <c r="E113" s="140"/>
      <c r="F113" s="120"/>
      <c r="K113" s="112"/>
      <c r="L113" s="112"/>
      <c r="M113" s="112"/>
      <c r="O113" s="113"/>
      <c r="P113" s="113"/>
      <c r="Q113" s="113"/>
    </row>
    <row r="114" spans="1:17" ht="12.75">
      <c r="A114" s="121"/>
      <c r="B114" s="132" t="s">
        <v>320</v>
      </c>
      <c r="C114" s="123"/>
      <c r="D114" s="140"/>
      <c r="E114" s="140"/>
      <c r="F114" s="120"/>
      <c r="K114" s="112"/>
      <c r="L114" s="112"/>
      <c r="M114" s="112"/>
      <c r="O114" s="113"/>
      <c r="P114" s="113"/>
      <c r="Q114" s="113"/>
    </row>
    <row r="115" spans="1:17" ht="12.75">
      <c r="A115" s="121"/>
      <c r="B115" s="132" t="s">
        <v>321</v>
      </c>
      <c r="C115" s="123"/>
      <c r="D115" s="140"/>
      <c r="E115" s="140"/>
      <c r="F115" s="120"/>
      <c r="K115" s="112"/>
      <c r="L115" s="112"/>
      <c r="M115" s="112"/>
      <c r="O115" s="113"/>
      <c r="P115" s="113"/>
      <c r="Q115" s="113"/>
    </row>
    <row r="116" spans="1:17" ht="12.75">
      <c r="A116" s="121"/>
      <c r="B116" s="132" t="s">
        <v>322</v>
      </c>
      <c r="C116" s="123"/>
      <c r="D116" s="140"/>
      <c r="E116" s="140"/>
      <c r="F116" s="120"/>
      <c r="K116" s="112"/>
      <c r="L116" s="112"/>
      <c r="M116" s="112"/>
      <c r="O116" s="113"/>
      <c r="P116" s="113"/>
      <c r="Q116" s="113"/>
    </row>
    <row r="117" spans="1:17" ht="12.75">
      <c r="A117" s="121"/>
      <c r="B117" s="132"/>
      <c r="C117" s="123"/>
      <c r="D117" s="140"/>
      <c r="E117" s="140"/>
      <c r="F117" s="120"/>
      <c r="K117" s="112"/>
      <c r="L117" s="112"/>
      <c r="M117" s="112"/>
      <c r="O117" s="113"/>
      <c r="P117" s="113"/>
      <c r="Q117" s="113"/>
    </row>
    <row r="118" spans="1:17" ht="12.75">
      <c r="A118" s="121" t="s">
        <v>2</v>
      </c>
      <c r="B118" s="122" t="s">
        <v>38</v>
      </c>
      <c r="C118" s="123">
        <f>H118</f>
        <v>0.0083</v>
      </c>
      <c r="D118" s="133"/>
      <c r="E118" s="140"/>
      <c r="F118" s="120"/>
      <c r="H118" s="135">
        <f>ROUND(((15/30)/12)*H120,4)</f>
        <v>0.0083</v>
      </c>
      <c r="K118" s="112"/>
      <c r="L118" s="112"/>
      <c r="M118" s="112"/>
      <c r="O118" s="113"/>
      <c r="P118" s="113"/>
      <c r="Q118" s="113"/>
    </row>
    <row r="119" spans="1:17" ht="12.75">
      <c r="A119" s="121"/>
      <c r="B119" s="131" t="s">
        <v>141</v>
      </c>
      <c r="C119" s="123"/>
      <c r="D119" s="140"/>
      <c r="E119" s="140"/>
      <c r="F119" s="120"/>
      <c r="K119" s="112"/>
      <c r="L119" s="112"/>
      <c r="M119" s="112"/>
      <c r="O119" s="113"/>
      <c r="P119" s="113"/>
      <c r="Q119" s="113"/>
    </row>
    <row r="120" spans="1:26" ht="12.75">
      <c r="A120" s="121"/>
      <c r="B120" s="131" t="s">
        <v>184</v>
      </c>
      <c r="C120" s="123"/>
      <c r="D120" s="140"/>
      <c r="E120" s="140"/>
      <c r="F120" s="120"/>
      <c r="H120" s="130">
        <v>0.2</v>
      </c>
      <c r="I120" s="141" t="s">
        <v>168</v>
      </c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17" ht="12.75">
      <c r="A121" s="121"/>
      <c r="B121" s="131" t="s">
        <v>138</v>
      </c>
      <c r="C121" s="123"/>
      <c r="D121" s="140"/>
      <c r="E121" s="140"/>
      <c r="F121" s="120"/>
      <c r="K121" s="112"/>
      <c r="L121" s="112"/>
      <c r="M121" s="112"/>
      <c r="O121" s="113"/>
      <c r="P121" s="113"/>
      <c r="Q121" s="113"/>
    </row>
    <row r="122" spans="1:17" ht="12.75">
      <c r="A122" s="121"/>
      <c r="B122" s="132" t="s">
        <v>185</v>
      </c>
      <c r="C122" s="123"/>
      <c r="D122" s="140"/>
      <c r="E122" s="140"/>
      <c r="F122" s="120"/>
      <c r="K122" s="112"/>
      <c r="L122" s="112"/>
      <c r="M122" s="112"/>
      <c r="O122" s="113"/>
      <c r="P122" s="113"/>
      <c r="Q122" s="113"/>
    </row>
    <row r="123" spans="1:17" ht="12.75">
      <c r="A123" s="121"/>
      <c r="B123" s="132" t="s">
        <v>186</v>
      </c>
      <c r="C123" s="123"/>
      <c r="D123" s="140"/>
      <c r="E123" s="140"/>
      <c r="F123" s="120"/>
      <c r="K123" s="112"/>
      <c r="L123" s="112"/>
      <c r="M123" s="112"/>
      <c r="O123" s="113"/>
      <c r="P123" s="113"/>
      <c r="Q123" s="113"/>
    </row>
    <row r="124" spans="1:17" ht="12.75">
      <c r="A124" s="121"/>
      <c r="B124" s="132" t="s">
        <v>187</v>
      </c>
      <c r="C124" s="123"/>
      <c r="D124" s="140"/>
      <c r="E124" s="140"/>
      <c r="F124" s="120"/>
      <c r="K124" s="112"/>
      <c r="L124" s="112"/>
      <c r="M124" s="112"/>
      <c r="O124" s="113"/>
      <c r="P124" s="113"/>
      <c r="Q124" s="113"/>
    </row>
    <row r="125" spans="1:17" ht="12.75">
      <c r="A125" s="121"/>
      <c r="B125" s="132" t="s">
        <v>188</v>
      </c>
      <c r="C125" s="123"/>
      <c r="D125" s="140"/>
      <c r="E125" s="140"/>
      <c r="F125" s="120"/>
      <c r="K125" s="112"/>
      <c r="L125" s="112"/>
      <c r="M125" s="112"/>
      <c r="O125" s="113"/>
      <c r="P125" s="113"/>
      <c r="Q125" s="113"/>
    </row>
    <row r="126" spans="1:17" ht="12.75">
      <c r="A126" s="121"/>
      <c r="B126" s="132" t="s">
        <v>189</v>
      </c>
      <c r="C126" s="123"/>
      <c r="D126" s="140"/>
      <c r="E126" s="140"/>
      <c r="F126" s="120"/>
      <c r="K126" s="112"/>
      <c r="L126" s="112"/>
      <c r="M126" s="112"/>
      <c r="O126" s="113"/>
      <c r="P126" s="113"/>
      <c r="Q126" s="113"/>
    </row>
    <row r="127" spans="1:17" ht="12.75">
      <c r="A127" s="121"/>
      <c r="B127" s="132"/>
      <c r="C127" s="123"/>
      <c r="D127" s="140"/>
      <c r="E127" s="140"/>
      <c r="F127" s="120"/>
      <c r="K127" s="112"/>
      <c r="L127" s="112"/>
      <c r="M127" s="112"/>
      <c r="O127" s="113"/>
      <c r="P127" s="113"/>
      <c r="Q127" s="113"/>
    </row>
    <row r="128" spans="1:17" ht="12.75">
      <c r="A128" s="121" t="s">
        <v>45</v>
      </c>
      <c r="B128" s="122" t="s">
        <v>169</v>
      </c>
      <c r="C128" s="123">
        <f>(C118+C109+C96+C88+C82)*C3</f>
        <v>0.06855840000000003</v>
      </c>
      <c r="D128" s="133" t="s">
        <v>140</v>
      </c>
      <c r="E128" s="140"/>
      <c r="F128" s="120"/>
      <c r="K128" s="112"/>
      <c r="L128" s="112"/>
      <c r="M128" s="112"/>
      <c r="O128" s="113"/>
      <c r="P128" s="113"/>
      <c r="Q128" s="113"/>
    </row>
    <row r="129" spans="1:17" ht="13.5" thickBot="1">
      <c r="A129" s="134"/>
      <c r="B129" s="128"/>
      <c r="C129" s="128"/>
      <c r="D129" s="128"/>
      <c r="E129" s="128"/>
      <c r="F129" s="129"/>
      <c r="K129" s="112"/>
      <c r="L129" s="112"/>
      <c r="M129" s="112"/>
      <c r="O129" s="113"/>
      <c r="P129" s="113"/>
      <c r="Q129" s="113"/>
    </row>
    <row r="130" spans="1:17" ht="13.5" thickBot="1">
      <c r="A130" s="114"/>
      <c r="B130" s="114"/>
      <c r="C130" s="114"/>
      <c r="D130" s="114"/>
      <c r="E130" s="114"/>
      <c r="F130" s="114"/>
      <c r="K130" s="112"/>
      <c r="L130" s="112"/>
      <c r="M130" s="112"/>
      <c r="O130" s="113"/>
      <c r="P130" s="113"/>
      <c r="Q130" s="113"/>
    </row>
    <row r="131" spans="1:17" ht="12.75">
      <c r="A131" s="138"/>
      <c r="B131" s="116"/>
      <c r="C131" s="116"/>
      <c r="D131" s="116"/>
      <c r="E131" s="116"/>
      <c r="F131" s="118"/>
      <c r="K131" s="112"/>
      <c r="L131" s="112"/>
      <c r="M131" s="112"/>
      <c r="O131" s="113"/>
      <c r="P131" s="113"/>
      <c r="Q131" s="113"/>
    </row>
    <row r="132" spans="1:17" ht="12.75">
      <c r="A132" s="121" t="s">
        <v>170</v>
      </c>
      <c r="B132" s="122" t="s">
        <v>171</v>
      </c>
      <c r="C132" s="123">
        <f>C80+C40+C25+C14+C3</f>
        <v>0.8333752000000001</v>
      </c>
      <c r="D132" s="140"/>
      <c r="E132" s="140"/>
      <c r="F132" s="120"/>
      <c r="K132" s="112"/>
      <c r="L132" s="112"/>
      <c r="M132" s="112"/>
      <c r="O132" s="113"/>
      <c r="P132" s="113"/>
      <c r="Q132" s="113"/>
    </row>
    <row r="133" spans="1:17" ht="13.5" thickBot="1">
      <c r="A133" s="134"/>
      <c r="B133" s="128"/>
      <c r="C133" s="128"/>
      <c r="D133" s="128"/>
      <c r="E133" s="128"/>
      <c r="F133" s="129"/>
      <c r="K133" s="112"/>
      <c r="L133" s="112"/>
      <c r="M133" s="112"/>
      <c r="O133" s="113"/>
      <c r="P133" s="113"/>
      <c r="Q133" s="113"/>
    </row>
    <row r="134" spans="11:17" ht="12.75">
      <c r="K134" s="112"/>
      <c r="L134" s="112"/>
      <c r="M134" s="112"/>
      <c r="O134" s="113"/>
      <c r="P134" s="113"/>
      <c r="Q134" s="113"/>
    </row>
  </sheetData>
  <sheetProtection/>
  <mergeCells count="8">
    <mergeCell ref="B76:C76"/>
    <mergeCell ref="B56:F56"/>
    <mergeCell ref="B74:F74"/>
    <mergeCell ref="A1:F1"/>
    <mergeCell ref="D5:D12"/>
    <mergeCell ref="B57:F57"/>
    <mergeCell ref="B58:C58"/>
    <mergeCell ref="B75:F75"/>
  </mergeCells>
  <printOptions horizontalCentered="1"/>
  <pageMargins left="0.7874015748031497" right="0.3937007874015748" top="1.1811023622047245" bottom="0.7874015748031497" header="0.31496062992125984" footer="0.31496062992125984"/>
  <pageSetup fitToHeight="2" horizontalDpi="600" verticalDpi="600" orientation="portrait" paperSize="9" scale="66" r:id="rId1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Charlles Comercial</dc:creator>
  <cp:keywords/>
  <dc:description/>
  <cp:lastModifiedBy>REGINEIA APARECIDA MAGALHAES</cp:lastModifiedBy>
  <cp:lastPrinted>2022-09-22T12:00:07Z</cp:lastPrinted>
  <dcterms:created xsi:type="dcterms:W3CDTF">2014-03-08T13:45:43Z</dcterms:created>
  <dcterms:modified xsi:type="dcterms:W3CDTF">2022-09-22T15:02:27Z</dcterms:modified>
  <cp:category/>
  <cp:version/>
  <cp:contentType/>
  <cp:contentStatus/>
</cp:coreProperties>
</file>